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3256" windowHeight="12432" activeTab="4"/>
  </bookViews>
  <sheets>
    <sheet name="Misc. Charts" sheetId="6" r:id="rId1"/>
    <sheet name="170-171 Calculator" sheetId="2" r:id="rId2"/>
    <sheet name="320-330 Calculator" sheetId="1" r:id="rId3"/>
    <sheet name="Unusual Sighting Calculator" sheetId="5" r:id="rId4"/>
    <sheet name="Agent Proficiency" sheetId="3" r:id="rId5"/>
    <sheet name="Status Points" sheetId="4" r:id="rId6"/>
  </sheets>
  <definedNames>
    <definedName name="_xlnm.Print_Area" localSheetId="1">'170-171 Calculator'!$A$1:$L$55</definedName>
    <definedName name="_xlnm.Print_Area" localSheetId="2">'320-330 Calculator'!$A$1:$L$47</definedName>
    <definedName name="_xlnm.Print_Area" localSheetId="4">'Agent Proficiency'!$A$1:$K$30</definedName>
    <definedName name="_xlnm.Print_Area" localSheetId="0">'Misc. Charts'!$A$1:$P$31</definedName>
    <definedName name="_xlnm.Print_Area" localSheetId="3">'Unusual Sighting Calculator'!$A$1:$T$37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" i="5" l="1"/>
  <c r="P32" i="5"/>
  <c r="P35" i="5"/>
  <c r="P33" i="5"/>
  <c r="P36" i="5"/>
  <c r="P30" i="5"/>
  <c r="F16" i="2" l="1"/>
  <c r="F11" i="1"/>
  <c r="O71" i="1"/>
  <c r="O70" i="1"/>
  <c r="O69" i="1"/>
  <c r="O68" i="1"/>
  <c r="O67" i="1"/>
  <c r="O51" i="1"/>
  <c r="N51" i="1"/>
  <c r="Z43" i="5" l="1"/>
  <c r="Y43" i="5"/>
  <c r="AH27" i="5" l="1"/>
  <c r="AF39" i="5"/>
  <c r="Z40" i="5"/>
  <c r="Y40" i="5"/>
  <c r="Z39" i="5"/>
  <c r="Y39" i="5"/>
  <c r="Z38" i="5"/>
  <c r="Y38" i="5"/>
  <c r="J30" i="5" l="1"/>
  <c r="J29" i="5"/>
  <c r="J28" i="5"/>
  <c r="Y24" i="5"/>
  <c r="J21" i="5"/>
  <c r="J20" i="5"/>
  <c r="J19" i="5"/>
  <c r="Y18" i="5"/>
  <c r="J18" i="5"/>
  <c r="Y17" i="5"/>
  <c r="J17" i="5"/>
  <c r="Y16" i="5"/>
  <c r="J16" i="5"/>
  <c r="Y15" i="5"/>
  <c r="Y14" i="5"/>
  <c r="Y13" i="5"/>
  <c r="Y12" i="5"/>
  <c r="Y11" i="5"/>
  <c r="Y10" i="5"/>
  <c r="Y9" i="5"/>
  <c r="Y8" i="5"/>
  <c r="Y7" i="5"/>
  <c r="AA3" i="5"/>
  <c r="Y3" i="5"/>
  <c r="Y6" i="5" l="1"/>
  <c r="Z3" i="5"/>
  <c r="S60" i="2"/>
  <c r="R60" i="2"/>
  <c r="B18" i="2"/>
  <c r="L35" i="5" l="1"/>
  <c r="K35" i="5"/>
  <c r="L30" i="5"/>
  <c r="K30" i="5"/>
  <c r="L29" i="5"/>
  <c r="K29" i="5"/>
  <c r="L28" i="5"/>
  <c r="K28" i="5"/>
  <c r="AA21" i="5"/>
  <c r="AA27" i="5" s="1"/>
  <c r="J8" i="5" s="1"/>
  <c r="Y21" i="5"/>
  <c r="Y27" i="5" s="1"/>
  <c r="L8" i="5" s="1"/>
  <c r="Z21" i="5"/>
  <c r="Y34" i="5" s="1"/>
  <c r="K20" i="5" s="1"/>
  <c r="E36" i="4"/>
  <c r="E35" i="4"/>
  <c r="E33" i="4"/>
  <c r="E32" i="4"/>
  <c r="E30" i="4"/>
  <c r="E29" i="4"/>
  <c r="E28" i="4"/>
  <c r="Z31" i="5" l="1"/>
  <c r="L17" i="5" s="1"/>
  <c r="Y30" i="5"/>
  <c r="K16" i="5" s="1"/>
  <c r="Y33" i="5"/>
  <c r="K19" i="5" s="1"/>
  <c r="Z34" i="5"/>
  <c r="L20" i="5" s="1"/>
  <c r="Y35" i="5"/>
  <c r="K21" i="5" s="1"/>
  <c r="Z33" i="5"/>
  <c r="L19" i="5" s="1"/>
  <c r="Z32" i="5"/>
  <c r="L18" i="5" s="1"/>
  <c r="Y31" i="5"/>
  <c r="K17" i="5" s="1"/>
  <c r="Y32" i="5"/>
  <c r="K18" i="5" s="1"/>
  <c r="Z30" i="5"/>
  <c r="L16" i="5" s="1"/>
  <c r="Z27" i="5"/>
  <c r="K8" i="5" s="1"/>
  <c r="Z35" i="5"/>
  <c r="L21" i="5" s="1"/>
  <c r="F40" i="4"/>
  <c r="F39" i="4"/>
  <c r="F27" i="4"/>
  <c r="F26" i="4"/>
  <c r="F24" i="4"/>
  <c r="F22" i="4"/>
  <c r="F21" i="4"/>
  <c r="F20" i="4"/>
  <c r="F18" i="4"/>
  <c r="F17" i="4"/>
  <c r="F16" i="4"/>
  <c r="F15" i="4"/>
  <c r="F14" i="4"/>
  <c r="F12" i="4"/>
  <c r="F11" i="4"/>
  <c r="F10" i="4"/>
  <c r="F9" i="4"/>
  <c r="F7" i="4"/>
  <c r="F6" i="4"/>
  <c r="F5" i="4"/>
  <c r="O87" i="2" l="1"/>
  <c r="P87" i="2" s="1"/>
  <c r="N87" i="2"/>
  <c r="O86" i="2"/>
  <c r="P86" i="2" s="1"/>
  <c r="N86" i="2"/>
  <c r="O85" i="2"/>
  <c r="P85" i="2" s="1"/>
  <c r="N85" i="2"/>
  <c r="O84" i="2"/>
  <c r="P84" i="2" s="1"/>
  <c r="N84" i="2"/>
  <c r="O83" i="2"/>
  <c r="P83" i="2" s="1"/>
  <c r="N83" i="2"/>
  <c r="S80" i="2"/>
  <c r="S79" i="2"/>
  <c r="S78" i="2"/>
  <c r="S77" i="2"/>
  <c r="S76" i="2"/>
  <c r="R76" i="2"/>
  <c r="S75" i="2"/>
  <c r="R75" i="2"/>
  <c r="Q75" i="2"/>
  <c r="S74" i="2"/>
  <c r="R74" i="2"/>
  <c r="Q74" i="2"/>
  <c r="P65" i="2"/>
  <c r="O65" i="2"/>
  <c r="N65" i="2"/>
  <c r="Q60" i="2"/>
  <c r="P60" i="2"/>
  <c r="O60" i="2"/>
  <c r="N60" i="2"/>
  <c r="C33" i="2"/>
  <c r="B33" i="2" s="1"/>
  <c r="C31" i="2"/>
  <c r="B31" i="2" s="1"/>
  <c r="B29" i="2"/>
  <c r="B27" i="2"/>
  <c r="B22" i="2"/>
  <c r="B20" i="2"/>
  <c r="B16" i="2"/>
  <c r="O62" i="2" l="1"/>
  <c r="Q62" i="2" s="1"/>
  <c r="N89" i="2"/>
  <c r="B35" i="2" s="1"/>
  <c r="P89" i="2"/>
  <c r="Q65" i="2" s="1"/>
  <c r="Q68" i="2" s="1"/>
  <c r="O57" i="2"/>
  <c r="P68" i="2"/>
  <c r="O68" i="2" l="1"/>
  <c r="Q70" i="2"/>
  <c r="Q71" i="2"/>
  <c r="J54" i="2" s="1"/>
  <c r="P71" i="2"/>
  <c r="I54" i="2" s="1"/>
  <c r="P70" i="2"/>
  <c r="O71" i="2"/>
  <c r="H54" i="2" s="1"/>
  <c r="O70" i="2"/>
  <c r="D47" i="2"/>
  <c r="E54" i="2" s="1"/>
  <c r="D54" i="2" l="1"/>
  <c r="C54" i="2"/>
  <c r="O54" i="1"/>
  <c r="N54" i="1" l="1"/>
  <c r="Q54" i="1"/>
  <c r="C28" i="1"/>
  <c r="B28" i="1" s="1"/>
  <c r="P54" i="1"/>
  <c r="C26" i="1"/>
  <c r="B26" i="1" s="1"/>
  <c r="N71" i="1"/>
  <c r="N70" i="1"/>
  <c r="N69" i="1"/>
  <c r="N68" i="1"/>
  <c r="N67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B11" i="1"/>
  <c r="Q51" i="1"/>
  <c r="R51" i="1"/>
  <c r="P51" i="1"/>
  <c r="Q57" i="1" l="1"/>
  <c r="P57" i="1"/>
  <c r="O57" i="1"/>
  <c r="O60" i="1"/>
  <c r="Q58" i="1"/>
  <c r="O58" i="1"/>
  <c r="P58" i="1"/>
  <c r="S73" i="1"/>
  <c r="S72" i="1"/>
  <c r="S71" i="1"/>
  <c r="S70" i="1"/>
  <c r="S69" i="1"/>
  <c r="S68" i="1"/>
  <c r="S67" i="1"/>
  <c r="P71" i="1" l="1"/>
  <c r="Q71" i="1" s="1"/>
  <c r="P70" i="1"/>
  <c r="Q70" i="1" s="1"/>
  <c r="P69" i="1"/>
  <c r="Q69" i="1" s="1"/>
  <c r="P68" i="1"/>
  <c r="Q68" i="1" s="1"/>
  <c r="P67" i="1"/>
  <c r="Q67" i="1" s="1"/>
  <c r="N73" i="1" l="1"/>
  <c r="Q73" i="1"/>
  <c r="B30" i="1" l="1"/>
  <c r="R54" i="1"/>
  <c r="Q64" i="1" l="1"/>
  <c r="O64" i="1"/>
  <c r="P64" i="1"/>
  <c r="O63" i="1"/>
  <c r="Q63" i="1"/>
  <c r="P63" i="1"/>
  <c r="B24" i="1"/>
  <c r="B22" i="1"/>
  <c r="B17" i="1"/>
  <c r="B15" i="1"/>
  <c r="B13" i="1"/>
  <c r="O48" i="1" l="1"/>
  <c r="J45" i="1" l="1"/>
  <c r="C45" i="1"/>
  <c r="I45" i="1"/>
  <c r="H45" i="1"/>
  <c r="E45" i="1"/>
  <c r="D45" i="1"/>
</calcChain>
</file>

<file path=xl/sharedStrings.xml><?xml version="1.0" encoding="utf-8"?>
<sst xmlns="http://schemas.openxmlformats.org/spreadsheetml/2006/main" count="728" uniqueCount="505">
  <si>
    <t>*** PLEASE NOTE ***</t>
  </si>
  <si>
    <t>On a Bad day</t>
  </si>
  <si>
    <t>On a Good day</t>
  </si>
  <si>
    <t>Friendly</t>
  </si>
  <si>
    <t>Tolerant</t>
  </si>
  <si>
    <t>Suspicious</t>
  </si>
  <si>
    <t>Hostile</t>
  </si>
  <si>
    <t>Owned</t>
  </si>
  <si>
    <t>Neutral</t>
  </si>
  <si>
    <t>Yes</t>
  </si>
  <si>
    <t>No</t>
  </si>
  <si>
    <t>Average day</t>
  </si>
  <si>
    <t>PC Resistance</t>
  </si>
  <si>
    <t>Is the Population Center Owned or Neutral ?</t>
  </si>
  <si>
    <t>What is your Regional Reaction in the Population Center's region ?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</si>
  <si>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</si>
  <si>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</si>
  <si>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</si>
  <si>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</si>
  <si>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</si>
  <si>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>RR Menu</t>
  </si>
  <si>
    <t>PC Own Menu</t>
  </si>
  <si>
    <t>Emissary Menu</t>
  </si>
  <si>
    <t>Emissary Values</t>
  </si>
  <si>
    <t>Control Menu</t>
  </si>
  <si>
    <t>S.Q.  Menu</t>
  </si>
  <si>
    <t>If the answer is 'Yes', then :</t>
  </si>
  <si>
    <t>S.Q. Totals</t>
  </si>
  <si>
    <t>Missing S.Q. Info</t>
  </si>
  <si>
    <t>RR value</t>
  </si>
  <si>
    <t>PC Owned Value</t>
  </si>
  <si>
    <t>PC Status Quo Value</t>
  </si>
  <si>
    <r>
      <rPr>
        <sz val="11"/>
        <color rgb="FFC00000"/>
        <rFont val="Calibri"/>
        <family val="2"/>
        <scheme val="minor"/>
      </rPr>
      <t xml:space="preserve">* </t>
    </r>
    <r>
      <rPr>
        <sz val="11"/>
        <color theme="1"/>
        <rFont val="Calibri"/>
        <family val="2"/>
        <scheme val="minor"/>
      </rPr>
      <t xml:space="preserve">A Population Center </t>
    </r>
    <r>
      <rPr>
        <b/>
        <sz val="11"/>
        <color rgb="FFC00000"/>
        <rFont val="Calibri"/>
        <family val="2"/>
        <scheme val="minor"/>
      </rPr>
      <t>cannot</t>
    </r>
    <r>
      <rPr>
        <sz val="11"/>
        <color theme="1"/>
        <rFont val="Calibri"/>
        <family val="2"/>
        <scheme val="minor"/>
      </rPr>
      <t xml:space="preserve"> be affected by 320 or 330, if it is a </t>
    </r>
    <r>
      <rPr>
        <b/>
        <sz val="11"/>
        <color theme="1"/>
        <rFont val="Calibri"/>
        <family val="2"/>
        <scheme val="minor"/>
      </rPr>
      <t>Capital</t>
    </r>
    <r>
      <rPr>
        <sz val="11"/>
        <color theme="1"/>
        <rFont val="Calibri"/>
        <family val="2"/>
        <scheme val="minor"/>
      </rPr>
      <t>.</t>
    </r>
  </si>
  <si>
    <t>Prince</t>
  </si>
  <si>
    <t>Duke</t>
  </si>
  <si>
    <t>Count</t>
  </si>
  <si>
    <t>Baron</t>
  </si>
  <si>
    <t>Governor</t>
  </si>
  <si>
    <t>Ambassador</t>
  </si>
  <si>
    <t>Envoy</t>
  </si>
  <si>
    <t>What is your King's current Influence ?</t>
  </si>
  <si>
    <t>Your Emissary Information</t>
  </si>
  <si>
    <t>Opposing Population Center Info</t>
  </si>
  <si>
    <t>Is the Population Center a City, Town or Village ?</t>
  </si>
  <si>
    <t>S.Q. Emmie Menu</t>
  </si>
  <si>
    <t>Emmie Value</t>
  </si>
  <si>
    <t>INF Value</t>
  </si>
  <si>
    <t>Kingdom Menu</t>
  </si>
  <si>
    <t>AN</t>
  </si>
  <si>
    <t>BL</t>
  </si>
  <si>
    <t>DA</t>
  </si>
  <si>
    <t>DE</t>
  </si>
  <si>
    <t>DW</t>
  </si>
  <si>
    <t>EL</t>
  </si>
  <si>
    <t>GI</t>
  </si>
  <si>
    <t>GN</t>
  </si>
  <si>
    <t>TR</t>
  </si>
  <si>
    <t>WA</t>
  </si>
  <si>
    <t>WI</t>
  </si>
  <si>
    <t>UN</t>
  </si>
  <si>
    <t>RA</t>
  </si>
  <si>
    <t>RD</t>
  </si>
  <si>
    <t>SO</t>
  </si>
  <si>
    <t>PC Menu</t>
  </si>
  <si>
    <t>City</t>
  </si>
  <si>
    <t>Town</t>
  </si>
  <si>
    <t>Village</t>
  </si>
  <si>
    <t>S.Q. Kingdom Menu</t>
  </si>
  <si>
    <t>Control</t>
  </si>
  <si>
    <t>Substantial</t>
  </si>
  <si>
    <t>Significant</t>
  </si>
  <si>
    <t>Minor</t>
  </si>
  <si>
    <t>PC Owner RR Value</t>
  </si>
  <si>
    <t>320 - Incite</t>
  </si>
  <si>
    <t>330 - Usurp</t>
  </si>
  <si>
    <t>Emmie Strength</t>
  </si>
  <si>
    <t>PC Base Value</t>
  </si>
  <si>
    <t>Results</t>
  </si>
  <si>
    <t>1-Step</t>
  </si>
  <si>
    <t>2-Steps</t>
  </si>
  <si>
    <t>Reg Control Value</t>
  </si>
  <si>
    <t>Are there any emissaries Maintaining Status Quo (order 310) this turn ?</t>
  </si>
  <si>
    <r>
      <t xml:space="preserve"> (a). Select the emissary's </t>
    </r>
    <r>
      <rPr>
        <b/>
        <i/>
        <sz val="10"/>
        <color rgb="FF002060"/>
        <rFont val="Calibri"/>
        <family val="2"/>
        <scheme val="minor"/>
      </rPr>
      <t>kingdom</t>
    </r>
    <r>
      <rPr>
        <i/>
        <sz val="10"/>
        <color rgb="FF002060"/>
        <rFont val="Calibri"/>
        <family val="2"/>
        <scheme val="minor"/>
      </rPr>
      <t xml:space="preserve"> from the drop-down menu.</t>
    </r>
  </si>
  <si>
    <r>
      <t xml:space="preserve"> (b). Select an </t>
    </r>
    <r>
      <rPr>
        <b/>
        <i/>
        <sz val="10"/>
        <color rgb="FF002060"/>
        <rFont val="Calibri"/>
        <family val="2"/>
        <scheme val="minor"/>
      </rPr>
      <t>emissary</t>
    </r>
    <r>
      <rPr>
        <i/>
        <sz val="10"/>
        <color rgb="FF002060"/>
        <rFont val="Calibri"/>
        <family val="2"/>
        <scheme val="minor"/>
      </rPr>
      <t xml:space="preserve"> from the drop-down menu.</t>
    </r>
  </si>
  <si>
    <r>
      <t xml:space="preserve"> (c). Enter the estimated </t>
    </r>
    <r>
      <rPr>
        <b/>
        <i/>
        <sz val="10"/>
        <color rgb="FF002060"/>
        <rFont val="Calibri"/>
        <family val="2"/>
        <scheme val="minor"/>
      </rPr>
      <t xml:space="preserve">influence </t>
    </r>
    <r>
      <rPr>
        <i/>
        <sz val="10"/>
        <color rgb="FF002060"/>
        <rFont val="Calibri"/>
        <family val="2"/>
        <scheme val="minor"/>
      </rPr>
      <t>for that emissary's King.</t>
    </r>
  </si>
  <si>
    <r>
      <t xml:space="preserve"> (d). </t>
    </r>
    <r>
      <rPr>
        <b/>
        <i/>
        <sz val="10"/>
        <color rgb="FF002060"/>
        <rFont val="Calibri"/>
        <family val="2"/>
        <scheme val="minor"/>
      </rPr>
      <t xml:space="preserve">Repeat </t>
    </r>
    <r>
      <rPr>
        <i/>
        <sz val="10"/>
        <color rgb="FF002060"/>
        <rFont val="Calibri"/>
        <family val="2"/>
        <scheme val="minor"/>
      </rPr>
      <t>for each emissary that could be involved.</t>
    </r>
  </si>
  <si>
    <r>
      <rPr>
        <i/>
        <sz val="10"/>
        <color rgb="FF002060"/>
        <rFont val="Calibri"/>
        <family val="2"/>
        <scheme val="minor"/>
      </rPr>
      <t xml:space="preserve">(a) </t>
    </r>
    <r>
      <rPr>
        <b/>
        <sz val="10"/>
        <color rgb="FF002060"/>
        <rFont val="Calibri"/>
        <family val="2"/>
        <scheme val="minor"/>
      </rPr>
      <t>Kingdom</t>
    </r>
  </si>
  <si>
    <r>
      <rPr>
        <i/>
        <sz val="10"/>
        <color rgb="FF002060"/>
        <rFont val="Calibri"/>
        <family val="2"/>
        <scheme val="minor"/>
      </rPr>
      <t xml:space="preserve">(b) </t>
    </r>
    <r>
      <rPr>
        <b/>
        <sz val="10"/>
        <color rgb="FF002060"/>
        <rFont val="Calibri"/>
        <family val="2"/>
        <scheme val="minor"/>
      </rPr>
      <t>Emissary</t>
    </r>
  </si>
  <si>
    <r>
      <rPr>
        <i/>
        <sz val="10"/>
        <color rgb="FF002060"/>
        <rFont val="Calibri"/>
        <family val="2"/>
        <scheme val="minor"/>
      </rPr>
      <t xml:space="preserve">(c) </t>
    </r>
    <r>
      <rPr>
        <b/>
        <sz val="10"/>
        <color rgb="FF002060"/>
        <rFont val="Calibri"/>
        <family val="2"/>
        <scheme val="minor"/>
      </rPr>
      <t>Influence</t>
    </r>
  </si>
  <si>
    <t>Missing Answers</t>
  </si>
  <si>
    <t>320 Kingdom Special</t>
  </si>
  <si>
    <t>330 Kingdom Special</t>
  </si>
  <si>
    <t>310 Kingdom Special</t>
  </si>
  <si>
    <r>
      <rPr>
        <sz val="11"/>
        <color rgb="FFC00000"/>
        <rFont val="Calibri"/>
        <family val="2"/>
        <scheme val="minor"/>
      </rPr>
      <t xml:space="preserve">* </t>
    </r>
    <r>
      <rPr>
        <sz val="11"/>
        <color theme="1"/>
        <rFont val="Calibri"/>
        <family val="2"/>
        <scheme val="minor"/>
      </rPr>
      <t xml:space="preserve">A Population Center </t>
    </r>
    <r>
      <rPr>
        <b/>
        <sz val="11"/>
        <color rgb="FFC00000"/>
        <rFont val="Calibri"/>
        <family val="2"/>
        <scheme val="minor"/>
      </rPr>
      <t>cannot</t>
    </r>
    <r>
      <rPr>
        <sz val="11"/>
        <color theme="1"/>
        <rFont val="Calibri"/>
        <family val="2"/>
        <scheme val="minor"/>
      </rPr>
      <t xml:space="preserve"> be taken via 170 or 171, if all three (3) of these statements are </t>
    </r>
    <r>
      <rPr>
        <b/>
        <sz val="11"/>
        <color theme="1"/>
        <rFont val="Calibri"/>
        <family val="2"/>
        <scheme val="minor"/>
      </rPr>
      <t>TRUE</t>
    </r>
    <r>
      <rPr>
        <sz val="11"/>
        <color theme="1"/>
        <rFont val="Calibri"/>
        <family val="2"/>
        <scheme val="minor"/>
      </rPr>
      <t>.</t>
    </r>
  </si>
  <si>
    <t>1. The Population Center is owned by the Regional controller.</t>
  </si>
  <si>
    <t>2. The Population Center owner has declared you as an Enemy.</t>
  </si>
  <si>
    <t>3. The Population Center owner is Friendly in the region.</t>
  </si>
  <si>
    <r>
      <rPr>
        <sz val="11"/>
        <color rgb="FFC00000"/>
        <rFont val="Calibri"/>
        <family val="2"/>
        <scheme val="minor"/>
      </rPr>
      <t xml:space="preserve">* </t>
    </r>
    <r>
      <rPr>
        <sz val="11"/>
        <color theme="1"/>
        <rFont val="Calibri"/>
        <family val="2"/>
        <scheme val="minor"/>
      </rPr>
      <t xml:space="preserve">A Population Center also </t>
    </r>
    <r>
      <rPr>
        <b/>
        <sz val="11"/>
        <color rgb="FFC00000"/>
        <rFont val="Calibri"/>
        <family val="2"/>
        <scheme val="minor"/>
      </rPr>
      <t>cannot</t>
    </r>
    <r>
      <rPr>
        <sz val="11"/>
        <color theme="1"/>
        <rFont val="Calibri"/>
        <family val="2"/>
        <scheme val="minor"/>
      </rPr>
      <t xml:space="preserve"> be taken via 170 or 171, if it is a </t>
    </r>
    <r>
      <rPr>
        <b/>
        <sz val="11"/>
        <color theme="1"/>
        <rFont val="Calibri"/>
        <family val="2"/>
        <scheme val="minor"/>
      </rPr>
      <t>Capital</t>
    </r>
    <r>
      <rPr>
        <sz val="11"/>
        <color theme="1"/>
        <rFont val="Calibri"/>
        <family val="2"/>
        <scheme val="minor"/>
      </rPr>
      <t>.</t>
    </r>
  </si>
  <si>
    <t>Group Information</t>
  </si>
  <si>
    <t>What is your Group's Value vs. Population Center ?</t>
  </si>
  <si>
    <t>What is your Group's highest Ranking Leader ?</t>
  </si>
  <si>
    <t>Population Center Info</t>
  </si>
  <si>
    <t>What is the Population Center's Defense ?</t>
  </si>
  <si>
    <t>Did any emissaries Maintain Status Quo (order 310) last turn ?</t>
  </si>
  <si>
    <t>Wizard's Power</t>
  </si>
  <si>
    <r>
      <t xml:space="preserve">(Order </t>
    </r>
    <r>
      <rPr>
        <b/>
        <i/>
        <sz val="10"/>
        <color rgb="FF0070C0"/>
        <rFont val="Calibri"/>
        <family val="2"/>
        <scheme val="minor"/>
      </rPr>
      <t xml:space="preserve">171 </t>
    </r>
    <r>
      <rPr>
        <i/>
        <sz val="10"/>
        <color rgb="FF0070C0"/>
        <rFont val="Calibri"/>
        <family val="2"/>
        <scheme val="minor"/>
      </rPr>
      <t>only)</t>
    </r>
  </si>
  <si>
    <t>Order 170 - Group Parley</t>
  </si>
  <si>
    <t>Order 171 - Diplomacy</t>
  </si>
  <si>
    <t>Warlord Value</t>
  </si>
  <si>
    <t>General+ Value</t>
  </si>
  <si>
    <t>Modified Wizard</t>
  </si>
  <si>
    <t>Group Power</t>
  </si>
  <si>
    <t>Grp Pwr w/Wizard</t>
  </si>
  <si>
    <t>PC Control Value</t>
  </si>
  <si>
    <t>PC Enemy Value</t>
  </si>
  <si>
    <t>Group to PC Ratio</t>
  </si>
  <si>
    <t>Wizard to PC Ratio</t>
  </si>
  <si>
    <t>Leader Menu</t>
  </si>
  <si>
    <t>Enemy Menu</t>
  </si>
  <si>
    <t>- None -</t>
  </si>
  <si>
    <t>Captain</t>
  </si>
  <si>
    <t>General</t>
  </si>
  <si>
    <t>Marshal</t>
  </si>
  <si>
    <t>Warlord</t>
  </si>
  <si>
    <t>(a). Select an emissary from the drop-down menu.</t>
  </si>
  <si>
    <t>(b). Enter the estimated influence for that emissary's King.</t>
  </si>
  <si>
    <t>(c). Repeat for each emissary that could be involved.</t>
  </si>
  <si>
    <r>
      <rPr>
        <i/>
        <sz val="10"/>
        <color rgb="FF002060"/>
        <rFont val="Calibri"/>
        <family val="2"/>
        <scheme val="minor"/>
      </rPr>
      <t xml:space="preserve">(a) </t>
    </r>
    <r>
      <rPr>
        <b/>
        <sz val="10"/>
        <color rgb="FF002060"/>
        <rFont val="Calibri"/>
        <family val="2"/>
        <scheme val="minor"/>
      </rPr>
      <t>Emissary</t>
    </r>
  </si>
  <si>
    <r>
      <rPr>
        <i/>
        <sz val="10"/>
        <color rgb="FF002060"/>
        <rFont val="Calibri"/>
        <family val="2"/>
        <scheme val="minor"/>
      </rPr>
      <t xml:space="preserve">(b) </t>
    </r>
    <r>
      <rPr>
        <b/>
        <sz val="10"/>
        <color rgb="FF002060"/>
        <rFont val="Calibri"/>
        <family val="2"/>
        <scheme val="minor"/>
      </rPr>
      <t>Influence</t>
    </r>
  </si>
  <si>
    <t>Hidden Calculations</t>
  </si>
  <si>
    <r>
      <t>Incite Rebellion/Usurp Control</t>
    </r>
    <r>
      <rPr>
        <sz val="12"/>
        <color rgb="FF002060"/>
        <rFont val="Calibri"/>
        <family val="2"/>
        <scheme val="minor"/>
      </rPr>
      <t xml:space="preserve"> - (1 Step)</t>
    </r>
  </si>
  <si>
    <r>
      <t>Usurp a Controlled PC</t>
    </r>
    <r>
      <rPr>
        <sz val="12"/>
        <color rgb="FF002060"/>
        <rFont val="Calibri"/>
        <family val="2"/>
        <scheme val="minor"/>
      </rPr>
      <t xml:space="preserve"> - (2 Steps)</t>
    </r>
  </si>
  <si>
    <t>What is the rank of your Emissary that will be performing the action ?</t>
  </si>
  <si>
    <t>What Kingdom (race) are you playing ?</t>
  </si>
  <si>
    <t>Assassinations</t>
  </si>
  <si>
    <t>Level-1</t>
  </si>
  <si>
    <t>Level-4</t>
  </si>
  <si>
    <t>Level-7</t>
  </si>
  <si>
    <t>Level-10</t>
  </si>
  <si>
    <t>King</t>
  </si>
  <si>
    <t>Power-1</t>
  </si>
  <si>
    <t>Power-4</t>
  </si>
  <si>
    <t>Agent-3</t>
  </si>
  <si>
    <t>High Preistess</t>
  </si>
  <si>
    <t/>
  </si>
  <si>
    <t>Kidnapping</t>
  </si>
  <si>
    <t>Agent-1</t>
  </si>
  <si>
    <t>Reconnaissance</t>
  </si>
  <si>
    <t>Sabotage</t>
  </si>
  <si>
    <t>Steal Artifact</t>
  </si>
  <si>
    <t>Steal Food/Gold</t>
  </si>
  <si>
    <t>Rescue Prisoner</t>
  </si>
  <si>
    <t>Expected Agent Effectiveness Under Various Missions</t>
  </si>
  <si>
    <r>
      <t xml:space="preserve">Calculator for </t>
    </r>
    <r>
      <rPr>
        <b/>
        <sz val="20"/>
        <color rgb="FFFFFF00"/>
        <rFont val="Calibri"/>
        <family val="2"/>
        <scheme val="minor"/>
      </rPr>
      <t xml:space="preserve">Incite Rebellion </t>
    </r>
    <r>
      <rPr>
        <sz val="20"/>
        <color rgb="FFFFFF00"/>
        <rFont val="Calibri"/>
        <family val="2"/>
        <scheme val="minor"/>
      </rPr>
      <t xml:space="preserve">(320) and </t>
    </r>
    <r>
      <rPr>
        <b/>
        <sz val="20"/>
        <color rgb="FFFFFF00"/>
        <rFont val="Calibri"/>
        <family val="2"/>
        <scheme val="minor"/>
      </rPr>
      <t xml:space="preserve">Usurp Control </t>
    </r>
    <r>
      <rPr>
        <sz val="20"/>
        <color rgb="FFFFFF00"/>
        <rFont val="Calibri"/>
        <family val="2"/>
        <scheme val="minor"/>
      </rPr>
      <t>(330)</t>
    </r>
  </si>
  <si>
    <r>
      <t xml:space="preserve">Calculator for </t>
    </r>
    <r>
      <rPr>
        <b/>
        <sz val="20"/>
        <color rgb="FFFFFF00"/>
        <rFont val="Calibri"/>
        <family val="2"/>
        <scheme val="minor"/>
      </rPr>
      <t xml:space="preserve">Group Parley </t>
    </r>
    <r>
      <rPr>
        <sz val="20"/>
        <color rgb="FFFFFF00"/>
        <rFont val="Calibri"/>
        <family val="2"/>
        <scheme val="minor"/>
      </rPr>
      <t xml:space="preserve">(170) and </t>
    </r>
    <r>
      <rPr>
        <b/>
        <sz val="20"/>
        <color rgb="FFFFFF00"/>
        <rFont val="Calibri"/>
        <family val="2"/>
        <scheme val="minor"/>
      </rPr>
      <t xml:space="preserve">Diplomacy </t>
    </r>
    <r>
      <rPr>
        <sz val="20"/>
        <color rgb="FFFFFF00"/>
        <rFont val="Calibri"/>
        <family val="2"/>
        <scheme val="minor"/>
      </rPr>
      <t>(171)</t>
    </r>
  </si>
  <si>
    <t>Category</t>
  </si>
  <si>
    <t>Objective</t>
  </si>
  <si>
    <r>
      <t xml:space="preserve">Interim
</t>
    </r>
    <r>
      <rPr>
        <i/>
        <sz val="11"/>
        <color theme="1"/>
        <rFont val="Calibri"/>
        <family val="2"/>
        <scheme val="minor"/>
      </rPr>
      <t>T6, 12, 18, etc.</t>
    </r>
  </si>
  <si>
    <t>Game End
Points</t>
  </si>
  <si>
    <t>Group with &gt; 50k vs. PC (and &lt; 70k)</t>
  </si>
  <si>
    <t>Magic</t>
  </si>
  <si>
    <t>P7+ Wizard</t>
  </si>
  <si>
    <t>P5-P6 Wizard</t>
  </si>
  <si>
    <t>Superior Artifact</t>
  </si>
  <si>
    <t>Excellent Artifact</t>
  </si>
  <si>
    <t>Fine Artifact</t>
  </si>
  <si>
    <t>Political</t>
  </si>
  <si>
    <t>Influence 20+</t>
  </si>
  <si>
    <t>Influence 17-19</t>
  </si>
  <si>
    <t>On the High Council</t>
  </si>
  <si>
    <t>Covert</t>
  </si>
  <si>
    <t>Economic</t>
  </si>
  <si>
    <t>Gold Production of 150k+</t>
  </si>
  <si>
    <t>Food Production of 100k+</t>
  </si>
  <si>
    <t>Citizenship</t>
  </si>
  <si>
    <t>Active end of T12</t>
  </si>
  <si>
    <t>Active end of T18</t>
  </si>
  <si>
    <t>Active end of T24</t>
  </si>
  <si>
    <t>Active Game End</t>
  </si>
  <si>
    <t>Victory</t>
  </si>
  <si>
    <t>n/a</t>
  </si>
  <si>
    <t>Secret Victory Condition</t>
  </si>
  <si>
    <t>Misc. Actions</t>
  </si>
  <si>
    <t>Military</t>
  </si>
  <si>
    <t>Per Kingdom you declare as Ally</t>
  </si>
  <si>
    <t>Status Point Awards</t>
  </si>
  <si>
    <t>%
Success</t>
  </si>
  <si>
    <t>%
Caught</t>
  </si>
  <si>
    <t>Per active Kingdom declaring you Enemy</t>
  </si>
  <si>
    <t>L11+ Agent or Fanatic</t>
  </si>
  <si>
    <t>L8-L10 Agent or Fanatic</t>
  </si>
  <si>
    <t>Prisoner: King/Queen/Regent/Consul</t>
  </si>
  <si>
    <t>Prisoner: Demon Prince</t>
  </si>
  <si>
    <t>Prisoner: Prince</t>
  </si>
  <si>
    <t>Prisoner: Duke</t>
  </si>
  <si>
    <t>Prisoner: Count</t>
  </si>
  <si>
    <t>Prisoner: Baron</t>
  </si>
  <si>
    <t>Prisoner: Governor</t>
  </si>
  <si>
    <t>Prisoner: Ambassador</t>
  </si>
  <si>
    <t>Prisoner: Envoy</t>
  </si>
  <si>
    <t>Prisoner: Agent/Fanatic</t>
  </si>
  <si>
    <t>Team Victory</t>
  </si>
  <si>
    <t>Standard Rex Victory</t>
  </si>
  <si>
    <t>Level x 10</t>
  </si>
  <si>
    <t>Level x 2.5</t>
  </si>
  <si>
    <t>Group with &gt;= 70k vs. PC</t>
  </si>
  <si>
    <t>170 Modification</t>
  </si>
  <si>
    <t>171 Modification</t>
  </si>
  <si>
    <t>What kingdom (race) are you playing ?</t>
  </si>
  <si>
    <t>Kingdom 170 Mod</t>
  </si>
  <si>
    <t>Kingdom 171 Mod</t>
  </si>
  <si>
    <t>Unusual Sighting Calculator</t>
  </si>
  <si>
    <t>Encounter Results</t>
  </si>
  <si>
    <t>&lt;&lt;&lt; Hidden Calculations &gt;&gt;&gt;</t>
  </si>
  <si>
    <t>Kingdom</t>
  </si>
  <si>
    <t>The Men Contribution</t>
  </si>
  <si>
    <t>P1 Wizard Contribution</t>
  </si>
  <si>
    <t>Leader Death Modifier</t>
  </si>
  <si>
    <t>Min</t>
  </si>
  <si>
    <t>Max</t>
  </si>
  <si>
    <r>
      <t xml:space="preserve">If you encounter a
</t>
    </r>
    <r>
      <rPr>
        <b/>
        <sz val="11"/>
        <color theme="1"/>
        <rFont val="Calibri"/>
        <family val="2"/>
        <scheme val="minor"/>
      </rPr>
      <t>Strong Guardian</t>
    </r>
    <r>
      <rPr>
        <sz val="10"/>
        <color theme="1"/>
        <rFont val="Calibri"/>
        <family val="2"/>
        <scheme val="minor"/>
      </rPr>
      <t xml:space="preserve">
your chances are:</t>
    </r>
  </si>
  <si>
    <r>
      <t xml:space="preserve">If you encounter a
</t>
    </r>
    <r>
      <rPr>
        <b/>
        <sz val="11"/>
        <color theme="1"/>
        <rFont val="Calibri"/>
        <family val="2"/>
        <scheme val="minor"/>
      </rPr>
      <t>Standard Guardian</t>
    </r>
    <r>
      <rPr>
        <sz val="10"/>
        <color theme="1"/>
        <rFont val="Calibri"/>
        <family val="2"/>
        <scheme val="minor"/>
      </rPr>
      <t xml:space="preserve">
your chances are:</t>
    </r>
  </si>
  <si>
    <r>
      <t xml:space="preserve">If you encounter a
</t>
    </r>
    <r>
      <rPr>
        <b/>
        <sz val="11"/>
        <color theme="1"/>
        <rFont val="Calibri"/>
        <family val="2"/>
        <scheme val="minor"/>
      </rPr>
      <t>Weaker Guardian</t>
    </r>
    <r>
      <rPr>
        <sz val="10"/>
        <color theme="1"/>
        <rFont val="Calibri"/>
        <family val="2"/>
        <scheme val="minor"/>
      </rPr>
      <t xml:space="preserve">
your chances are:</t>
    </r>
  </si>
  <si>
    <t>The Men</t>
  </si>
  <si>
    <t>2. What is the Artifact Class contained in the Unusual Sighting?</t>
  </si>
  <si>
    <t>Leader #1</t>
  </si>
  <si>
    <t>Leader #2</t>
  </si>
  <si>
    <t>Leader #3</t>
  </si>
  <si>
    <t>Wizard #1</t>
  </si>
  <si>
    <t>3. What Tactic will you use to investigate this Sighting?</t>
  </si>
  <si>
    <t>Wizard #2</t>
  </si>
  <si>
    <r>
      <rPr>
        <b/>
        <u/>
        <sz val="11"/>
        <color theme="1"/>
        <rFont val="Calibri"/>
        <family val="2"/>
        <scheme val="minor"/>
      </rPr>
      <t>Successful Encounter</t>
    </r>
    <r>
      <rPr>
        <sz val="10"/>
        <color theme="1"/>
        <rFont val="Calibri"/>
        <family val="2"/>
        <scheme val="minor"/>
      </rPr>
      <t xml:space="preserve">
Chance of Death vs.
Standard Guardian</t>
    </r>
    <r>
      <rPr>
        <b/>
        <u/>
        <sz val="10"/>
        <color theme="1"/>
        <rFont val="Calibri"/>
        <family val="2"/>
        <scheme val="minor"/>
      </rPr>
      <t/>
    </r>
  </si>
  <si>
    <r>
      <rPr>
        <b/>
        <u/>
        <sz val="11"/>
        <color theme="1"/>
        <rFont val="Calibri"/>
        <family val="2"/>
        <scheme val="minor"/>
      </rPr>
      <t>Failed Encounter</t>
    </r>
    <r>
      <rPr>
        <sz val="10"/>
        <color theme="1"/>
        <rFont val="Calibri"/>
        <family val="2"/>
        <scheme val="minor"/>
      </rPr>
      <t xml:space="preserve">
Chance of Death vs.
Standard Guardian</t>
    </r>
    <r>
      <rPr>
        <b/>
        <u/>
        <sz val="10"/>
        <color theme="1"/>
        <rFont val="Calibri"/>
        <family val="2"/>
        <scheme val="minor"/>
      </rPr>
      <t/>
    </r>
  </si>
  <si>
    <t>Wizard #3</t>
  </si>
  <si>
    <t>Weapon Art #1</t>
  </si>
  <si>
    <t>Weapon Art #2</t>
  </si>
  <si>
    <t>List of Leaders</t>
  </si>
  <si>
    <t>Magic Armor?</t>
  </si>
  <si>
    <t>Weapon Art #3</t>
  </si>
  <si>
    <t>Weapon Art #4</t>
  </si>
  <si>
    <t>4. What Leaders will be investigating the Sighting?</t>
  </si>
  <si>
    <t>(1)</t>
  </si>
  <si>
    <t>Weapon Art #5</t>
  </si>
  <si>
    <t>Artifact Class</t>
  </si>
  <si>
    <t>Enter from zero (0) to three (3) Leaders</t>
  </si>
  <si>
    <t>(2)</t>
  </si>
  <si>
    <t>0. Enigma</t>
  </si>
  <si>
    <t>Indicate if any of them has Magical Armor</t>
  </si>
  <si>
    <t>(3)</t>
  </si>
  <si>
    <t>1. Fine</t>
  </si>
  <si>
    <t>2. Excellent</t>
  </si>
  <si>
    <t>3. Superior</t>
  </si>
  <si>
    <t>List of Wizards</t>
  </si>
  <si>
    <t>Guarded Attack?</t>
  </si>
  <si>
    <t>5. What Wizards will be investigating the Sighting?</t>
  </si>
  <si>
    <r>
      <rPr>
        <b/>
        <u/>
        <sz val="11"/>
        <color theme="1"/>
        <rFont val="Calibri"/>
        <family val="2"/>
        <scheme val="minor"/>
      </rPr>
      <t>Successful Encounter</t>
    </r>
    <r>
      <rPr>
        <sz val="10"/>
        <color theme="1"/>
        <rFont val="Calibri"/>
        <family val="2"/>
        <scheme val="minor"/>
      </rPr>
      <t xml:space="preserve">
Promotion Chances vs.
Standard Guardian</t>
    </r>
    <r>
      <rPr>
        <b/>
        <u/>
        <sz val="10"/>
        <color theme="1"/>
        <rFont val="Calibri"/>
        <family val="2"/>
        <scheme val="minor"/>
      </rPr>
      <t/>
    </r>
  </si>
  <si>
    <r>
      <rPr>
        <b/>
        <u/>
        <sz val="11"/>
        <color theme="1"/>
        <rFont val="Calibri"/>
        <family val="2"/>
        <scheme val="minor"/>
      </rPr>
      <t>Failed Encounter</t>
    </r>
    <r>
      <rPr>
        <sz val="10"/>
        <color theme="1"/>
        <rFont val="Calibri"/>
        <family val="2"/>
        <scheme val="minor"/>
      </rPr>
      <t xml:space="preserve">
Promotion Chances vs.
Standard Guardian</t>
    </r>
    <r>
      <rPr>
        <b/>
        <u/>
        <sz val="10"/>
        <color theme="1"/>
        <rFont val="Calibri"/>
        <family val="2"/>
        <scheme val="minor"/>
      </rPr>
      <t/>
    </r>
  </si>
  <si>
    <t>Leader Rank</t>
  </si>
  <si>
    <t>Leader Contribution</t>
  </si>
  <si>
    <t>Death Rates</t>
  </si>
  <si>
    <t>Enter from zero (0) to three (3) Wizards</t>
  </si>
  <si>
    <t>Death chances:</t>
  </si>
  <si>
    <t>Success Encounter</t>
  </si>
  <si>
    <t>Failed Encounter</t>
  </si>
  <si>
    <t>Indicate if any of them will be casting Guarded Attack</t>
  </si>
  <si>
    <t>Captain I</t>
  </si>
  <si>
    <t>Captain II</t>
  </si>
  <si>
    <t>List of Weapon Artifacts</t>
  </si>
  <si>
    <t>General I</t>
  </si>
  <si>
    <t>6. Does your group possess any Weapon Artifacts?</t>
  </si>
  <si>
    <t>General II</t>
  </si>
  <si>
    <t>Enter from zero (0) to five (5) Weapon Artifacts</t>
  </si>
  <si>
    <t>Successful Encounter</t>
  </si>
  <si>
    <t>Marshal I</t>
  </si>
  <si>
    <t>(4)</t>
  </si>
  <si>
    <t>If &lt; 3 Leaders at the
end of the Encounter</t>
  </si>
  <si>
    <t>Marshal II</t>
  </si>
  <si>
    <t>(5)</t>
  </si>
  <si>
    <t>Wizard</t>
  </si>
  <si>
    <t>Wizard Power</t>
  </si>
  <si>
    <t>Weapon Artifacts</t>
  </si>
  <si>
    <t>Weapon Contr.</t>
  </si>
  <si>
    <t>Power- 1</t>
  </si>
  <si>
    <t>Rod of Fire</t>
  </si>
  <si>
    <t>New Leader</t>
  </si>
  <si>
    <t>Power- 2</t>
  </si>
  <si>
    <t>Wand of Lightning</t>
  </si>
  <si>
    <t>Power- 3</t>
  </si>
  <si>
    <t>Weapon Artifact</t>
  </si>
  <si>
    <t>Power- 4</t>
  </si>
  <si>
    <t>Power- 5</t>
  </si>
  <si>
    <t>Power- 6</t>
  </si>
  <si>
    <t>Power- 7</t>
  </si>
  <si>
    <t>Power- 8</t>
  </si>
  <si>
    <t>Power- 9</t>
  </si>
  <si>
    <t>Power-10</t>
  </si>
  <si>
    <t>Power-11</t>
  </si>
  <si>
    <t>Power-12</t>
  </si>
  <si>
    <t>Power-13</t>
  </si>
  <si>
    <t>Power-14</t>
  </si>
  <si>
    <t>Power-15</t>
  </si>
  <si>
    <t>Tactic</t>
  </si>
  <si>
    <t>Success Mod.</t>
  </si>
  <si>
    <t>Tactic 1</t>
  </si>
  <si>
    <t>Tactic 2</t>
  </si>
  <si>
    <t>Tactic 3</t>
  </si>
  <si>
    <t>Leader Promotion Modifier (pts)</t>
  </si>
  <si>
    <t>Artifact Strength Modifier</t>
  </si>
  <si>
    <t>Guarded Attack (Y)</t>
  </si>
  <si>
    <t>Magic Armor (Y)</t>
  </si>
  <si>
    <t>Character Strength Modifier</t>
  </si>
  <si>
    <t>Base Death Rates</t>
  </si>
  <si>
    <t>Base Promotion Rates</t>
  </si>
  <si>
    <t>Guardian Max</t>
  </si>
  <si>
    <t>Guardian Min</t>
  </si>
  <si>
    <t>Success</t>
  </si>
  <si>
    <t>Failed</t>
  </si>
  <si>
    <t>Promotion chance:</t>
  </si>
  <si>
    <t>New Leader chance:</t>
  </si>
  <si>
    <t>Weak</t>
  </si>
  <si>
    <t>Strong</t>
  </si>
  <si>
    <t>Standard</t>
  </si>
  <si>
    <t>Modifier</t>
  </si>
  <si>
    <t>Sum of…</t>
  </si>
  <si>
    <t>Average</t>
  </si>
  <si>
    <t>Leader Emergence Modifier</t>
  </si>
  <si>
    <t>Base Chance</t>
  </si>
  <si>
    <t>Successful Enctr.</t>
  </si>
  <si>
    <t>Leader Emergence</t>
  </si>
  <si>
    <t>Base Success Chance:</t>
  </si>
  <si>
    <t>Tactic Modifier:</t>
  </si>
  <si>
    <t>Modified Chances:</t>
  </si>
  <si>
    <t>Patrol Value:</t>
  </si>
  <si>
    <t>Guardian Value:</t>
  </si>
  <si>
    <t>Risk of Death to your Leaders and Wizards</t>
  </si>
  <si>
    <t>Adept</t>
  </si>
  <si>
    <t>310
Status Quo</t>
  </si>
  <si>
    <t>320
Incite</t>
  </si>
  <si>
    <t>330
Usurp</t>
  </si>
  <si>
    <t>Message</t>
  </si>
  <si>
    <t>(Gnomes receive a +15% bonus to Incite Rebellion)</t>
  </si>
  <si>
    <t>(Elves get a +10% bonus to Incite Rebellion &amp; Usurp Control)</t>
  </si>
  <si>
    <t>(Darkelves get a +10% bonus to 320-Incite &amp; 330-Usurp)</t>
  </si>
  <si>
    <t>(Giants receive a +10% bonus when they Parley with a PC)</t>
  </si>
  <si>
    <t>(Red Dragons get a -20% penalty when they issue 170 or 171)</t>
  </si>
  <si>
    <t>1. What is the Kingdom (race) that you are playing?</t>
  </si>
  <si>
    <t>4. Quest Item</t>
  </si>
  <si>
    <t>Suicide Mission</t>
  </si>
  <si>
    <t>Slight</t>
  </si>
  <si>
    <t>Unlikely</t>
  </si>
  <si>
    <t>Iffy</t>
  </si>
  <si>
    <t>Decent</t>
  </si>
  <si>
    <t>Good</t>
  </si>
  <si>
    <t>Promising</t>
  </si>
  <si>
    <t>Near Certainty</t>
  </si>
  <si>
    <t>Near Invulnerable</t>
  </si>
  <si>
    <t>At Some Risk</t>
  </si>
  <si>
    <t>Risky</t>
  </si>
  <si>
    <t>Dangerous</t>
  </si>
  <si>
    <t>Will Need Some Luck</t>
  </si>
  <si>
    <t>Survival Doubtful</t>
  </si>
  <si>
    <t>Risk of Death</t>
  </si>
  <si>
    <t>Almost Impossible</t>
  </si>
  <si>
    <t> Questionable</t>
  </si>
  <si>
    <t> Good</t>
  </si>
  <si>
    <t> Likely</t>
  </si>
  <si>
    <t> Very Probable</t>
  </si>
  <si>
    <t> Near Certainty</t>
  </si>
  <si>
    <t>Encounter Success</t>
  </si>
  <si>
    <t>Almost No Chance </t>
  </si>
  <si>
    <t> Slight</t>
  </si>
  <si>
    <t> Unlikely</t>
  </si>
  <si>
    <t> Questionable </t>
  </si>
  <si>
    <t> Very Probable </t>
  </si>
  <si>
    <t> Near Certainty </t>
  </si>
  <si>
    <t>Kingdom Name</t>
  </si>
  <si>
    <t>Sorcerer wizards contribute more than other non-wizard kingdoms.</t>
  </si>
  <si>
    <t>Trolls receive a small bonus to leader promotions.</t>
  </si>
  <si>
    <t>Warlock wizards contribute more than other non-wizard kingdoms.</t>
  </si>
  <si>
    <t>Tactic Message</t>
  </si>
  <si>
    <t>Less Chance of Success / Reduced Risk to Leaders</t>
  </si>
  <si>
    <t>Average Chance of Success / Average Risk to Leaders</t>
  </si>
  <si>
    <t>Greater Chance of Success / Increased Risk to Leaders</t>
  </si>
  <si>
    <t>Artifact Class Desc</t>
  </si>
  <si>
    <t>The Secret Servants of the Ancient Ones</t>
  </si>
  <si>
    <t>The Dark Skys of the Black Dragons</t>
  </si>
  <si>
    <t>The Onyx Imperium of the Dark Elves</t>
  </si>
  <si>
    <t>The Seven Hells of the Demon Princes</t>
  </si>
  <si>
    <t>The Dwarves of the Talking Mountains</t>
  </si>
  <si>
    <t>The High Elves of the Golden Woods</t>
  </si>
  <si>
    <t>The Stone Giants Above Trembling Ground</t>
  </si>
  <si>
    <t>The Great Gnomish Bastions of Alchemy</t>
  </si>
  <si>
    <t>The Rangers of the Frontier Marches</t>
  </si>
  <si>
    <t>The Reign of Terror of the Red Dragons</t>
  </si>
  <si>
    <t>The Hidden Realm of the Unseen Sorcerer</t>
  </si>
  <si>
    <t>The Damned Lands of the Troll Uprising</t>
  </si>
  <si>
    <t>The Shadow Brotherhood of the Underworld</t>
  </si>
  <si>
    <t>The Fiery Reach of the Red Warlock</t>
  </si>
  <si>
    <t>The Eternal Eye of the Empire of Doom</t>
  </si>
  <si>
    <t>Fine encounters are the easiest to investigate and are usually protected by the least powerful of Guardians.</t>
  </si>
  <si>
    <t>Superior encounters are very difficult to investigate and are usually protected by very powerful Guardians.</t>
  </si>
  <si>
    <t>Excellent encounters are slightly difficult to investigate and are usually protected by a powerful Guardian.</t>
  </si>
  <si>
    <t>Quests Items are the hardest encounter to investigate. They contain the "Prize" (i.e. Ring of Power), not the Key, which is only a Fine encounter.</t>
  </si>
  <si>
    <t>Black Dragon leaders are less likely to die in the encounter, but are not allowed to use weapon artifacts.</t>
  </si>
  <si>
    <t>Red Dragons receive a bonus to leader promotions and a reduction in the chances of leader deaths, but weapon artifacts do not benefit them.</t>
  </si>
  <si>
    <t>Witchlord wizards contribute more than other non-wizard kingdoms and receive a small bonus to leader promotions.</t>
  </si>
  <si>
    <t>New Leaders</t>
  </si>
  <si>
    <t>The Stone Giants receive a bonus to leader promotions and their leaders are much less likely to die in the encounter.</t>
  </si>
  <si>
    <t>Gnomish wizards contribute almost as much as a wizard kingdom and are balanced in other areas.</t>
  </si>
  <si>
    <t>The Ancient Ones receive a bonus to leader promotions and an increased chance for a new leader to emerge (if less than 3 at the end of the encounter).</t>
  </si>
  <si>
    <t>The Dark Elves receive a bonus to leader promotions and an increased chance for a new leader to emerge (if less than 3 at the end of the encounter).</t>
  </si>
  <si>
    <t>The Demon Princes receive a bonus to their chances for a new leader to emerge (if less than 3 at the end of the encounter).</t>
  </si>
  <si>
    <t>Dwarves receive a bonus to leader promotions, a reduced chance of leader deaths, and an increased chance for a new leader to emerge (if &lt; 3 at the end).</t>
  </si>
  <si>
    <t>The High Elves receive a bonus to leader promotions and an increased chance for a new leader to emerge (if less than 3 at the end of the encounter).</t>
  </si>
  <si>
    <t>The Rangers receive a bonus to leader promotions, a reduced chance of leader deaths, and an increased chance for a new leader to emerge (if &lt; 3 at the end).</t>
  </si>
  <si>
    <t>The Underworld receives an increased chance of a new leader to emerge (if less than 3 at the end of the encounter).</t>
  </si>
  <si>
    <t>Leader Promotions</t>
  </si>
  <si>
    <t>Legend &amp; Additional Info</t>
  </si>
  <si>
    <t>Additional Information</t>
  </si>
  <si>
    <t>Encounter Success Chances</t>
  </si>
  <si>
    <t>Legend: Message Hirarchy and Colors</t>
  </si>
  <si>
    <r>
      <t>Chances for a Leader Promotion</t>
    </r>
    <r>
      <rPr>
        <i/>
        <sz val="16"/>
        <color rgb="FF002060"/>
        <rFont val="Calibri"/>
        <family val="2"/>
        <scheme val="minor"/>
      </rPr>
      <t xml:space="preserve"> </t>
    </r>
    <r>
      <rPr>
        <i/>
        <sz val="14"/>
        <color rgb="FF002060"/>
        <rFont val="Calibri"/>
        <family val="2"/>
        <scheme val="minor"/>
      </rPr>
      <t>(if they Survive)</t>
    </r>
  </si>
  <si>
    <r>
      <t>Chances that a New Leader will Emerge</t>
    </r>
    <r>
      <rPr>
        <sz val="14"/>
        <color rgb="FF002060"/>
        <rFont val="Calibri"/>
        <family val="2"/>
        <scheme val="minor"/>
      </rPr>
      <t xml:space="preserve"> </t>
    </r>
    <r>
      <rPr>
        <i/>
        <sz val="14"/>
        <color rgb="FF002060"/>
        <rFont val="Calibri"/>
        <family val="2"/>
        <scheme val="minor"/>
      </rPr>
      <t>(if less than 3)</t>
    </r>
  </si>
  <si>
    <r>
      <t xml:space="preserve">Message Hirarchy
per Category
</t>
    </r>
    <r>
      <rPr>
        <i/>
        <sz val="11"/>
        <rFont val="Calibri"/>
        <family val="2"/>
        <scheme val="minor"/>
      </rPr>
      <t>( 8 Levels each )</t>
    </r>
  </si>
  <si>
    <t>Gold</t>
  </si>
  <si>
    <t>The Sequence of Events</t>
  </si>
  <si>
    <t>Emissary Power and Usage Cost</t>
  </si>
  <si>
    <t>Regional Influence Levels</t>
  </si>
  <si>
    <t>Leader Bonuses</t>
  </si>
  <si>
    <t>Title</t>
  </si>
  <si>
    <t>Influence</t>
  </si>
  <si>
    <t>Seasonal Effects</t>
  </si>
  <si>
    <t>Add/Drop Standing Orders</t>
  </si>
  <si>
    <t>Group To Group Encounters</t>
  </si>
  <si>
    <t>Group To Pop. Center Actions</t>
  </si>
  <si>
    <t>Production</t>
  </si>
  <si>
    <t>Trading</t>
  </si>
  <si>
    <t>Receive Scheduled Reinforcements</t>
  </si>
  <si>
    <t>Group Consumption</t>
  </si>
  <si>
    <t>Political Emissary Activities</t>
  </si>
  <si>
    <t>High Council Actions</t>
  </si>
  <si>
    <t>Improve Pop. Center Capabilities</t>
  </si>
  <si>
    <t>Split/Move/Combine Groups</t>
  </si>
  <si>
    <t>High Priestess Actions</t>
  </si>
  <si>
    <t>Determine Regional Control</t>
  </si>
  <si>
    <t>Perform Magical Research</t>
  </si>
  <si>
    <t>Agent Activities</t>
  </si>
  <si>
    <t>Food Spoilage</t>
  </si>
  <si>
    <t>Pro Governor</t>
  </si>
  <si>
    <t>None</t>
  </si>
  <si>
    <t>Winter</t>
  </si>
  <si>
    <t>Summer</t>
  </si>
  <si>
    <t>Group Size</t>
  </si>
  <si>
    <t>Empty</t>
  </si>
  <si>
    <t># of Brigades</t>
  </si>
  <si>
    <t>Size</t>
  </si>
  <si>
    <t>Inactive</t>
  </si>
  <si>
    <t>Patrol</t>
  </si>
  <si>
    <t>Brigade</t>
  </si>
  <si>
    <t>Division</t>
  </si>
  <si>
    <t>Army</t>
  </si>
  <si>
    <t>Army Group</t>
  </si>
  <si>
    <t>Percentage of Troop Effectiveness in Various Terrains</t>
  </si>
  <si>
    <t>Terrain</t>
  </si>
  <si>
    <t>Plains</t>
  </si>
  <si>
    <t>Forest</t>
  </si>
  <si>
    <t>Mountains</t>
  </si>
  <si>
    <t>Desert</t>
  </si>
  <si>
    <t>Marsh</t>
  </si>
  <si>
    <t>Sea</t>
  </si>
  <si>
    <t>Infantry</t>
  </si>
  <si>
    <t>Pop. Center</t>
  </si>
  <si>
    <t>Cavalry</t>
  </si>
  <si>
    <t>Archers</t>
  </si>
  <si>
    <t>Investigate Unusual Sightings</t>
  </si>
  <si>
    <r>
      <t>Regions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1-6</t>
    </r>
  </si>
  <si>
    <r>
      <t>Regions 7</t>
    </r>
    <r>
      <rPr>
        <sz val="10"/>
        <color theme="1"/>
        <rFont val="Calibri"/>
        <family val="2"/>
        <scheme val="minor"/>
      </rPr>
      <t>-</t>
    </r>
    <r>
      <rPr>
        <sz val="10"/>
        <color rgb="FF000000"/>
        <rFont val="Calibri"/>
        <family val="2"/>
        <scheme val="minor"/>
      </rPr>
      <t>10</t>
    </r>
  </si>
  <si>
    <t>Rank</t>
  </si>
  <si>
    <t>Bonus</t>
  </si>
  <si>
    <t>King's Power %</t>
  </si>
  <si>
    <t>-</t>
  </si>
  <si>
    <t>% of Census</t>
  </si>
  <si>
    <t>The King's Actions</t>
  </si>
  <si>
    <t>#</t>
  </si>
  <si>
    <r>
      <rPr>
        <b/>
        <sz val="22"/>
        <color rgb="FFFFFF00"/>
        <rFont val="Calibri"/>
        <family val="2"/>
        <scheme val="minor"/>
      </rPr>
      <t>Miscellaneous Reference</t>
    </r>
    <r>
      <rPr>
        <sz val="22"/>
        <color rgb="FFFFFF00"/>
        <rFont val="Calibri"/>
        <family val="2"/>
        <scheme val="minor"/>
      </rPr>
      <t xml:space="preserve"> </t>
    </r>
    <r>
      <rPr>
        <b/>
        <sz val="22"/>
        <color rgb="FFFFFF00"/>
        <rFont val="Calibri"/>
        <family val="2"/>
        <scheme val="minor"/>
      </rPr>
      <t>Charts</t>
    </r>
    <r>
      <rPr>
        <sz val="22"/>
        <color rgb="FFFFFF00"/>
        <rFont val="Calibri"/>
        <family val="2"/>
        <scheme val="minor"/>
      </rPr>
      <t xml:space="preserve"> </t>
    </r>
    <r>
      <rPr>
        <b/>
        <sz val="22"/>
        <color rgb="FFFFFF00"/>
        <rFont val="Calibri"/>
        <family val="2"/>
        <scheme val="minor"/>
      </rPr>
      <t>for</t>
    </r>
    <r>
      <rPr>
        <sz val="22"/>
        <color rgb="FFFFFF00"/>
        <rFont val="Calibri"/>
        <family val="2"/>
        <scheme val="minor"/>
      </rPr>
      <t xml:space="preserve"> </t>
    </r>
    <r>
      <rPr>
        <b/>
        <sz val="22"/>
        <color rgb="FFFFFF00"/>
        <rFont val="Calibri"/>
        <family val="2"/>
        <scheme val="minor"/>
      </rPr>
      <t>Alamaze</t>
    </r>
  </si>
  <si>
    <r>
      <t>50%</t>
    </r>
    <r>
      <rPr>
        <i/>
        <sz val="10"/>
        <color theme="1"/>
        <rFont val="Calibri"/>
        <family val="2"/>
        <scheme val="minor"/>
      </rPr>
      <t xml:space="preserve"> </t>
    </r>
    <r>
      <rPr>
        <i/>
        <sz val="10"/>
        <color rgb="FF000000"/>
        <rFont val="Calibri"/>
        <family val="2"/>
        <scheme val="minor"/>
      </rPr>
      <t>Gold</t>
    </r>
    <r>
      <rPr>
        <i/>
        <sz val="10"/>
        <color theme="1"/>
        <rFont val="Calibri"/>
        <family val="2"/>
        <scheme val="minor"/>
      </rPr>
      <t xml:space="preserve"> and </t>
    </r>
    <r>
      <rPr>
        <i/>
        <sz val="10"/>
        <color rgb="FF000000"/>
        <rFont val="Calibri"/>
        <family val="2"/>
        <scheme val="minor"/>
      </rPr>
      <t>25%</t>
    </r>
    <r>
      <rPr>
        <i/>
        <sz val="10"/>
        <color theme="1"/>
        <rFont val="Calibri"/>
        <family val="2"/>
        <scheme val="minor"/>
      </rPr>
      <t xml:space="preserve"> </t>
    </r>
    <r>
      <rPr>
        <i/>
        <sz val="10"/>
        <color rgb="FF000000"/>
        <rFont val="Calibri"/>
        <family val="2"/>
        <scheme val="minor"/>
      </rPr>
      <t>Food</t>
    </r>
  </si>
  <si>
    <t>11 or More</t>
  </si>
  <si>
    <t>6-10 Brigades</t>
  </si>
  <si>
    <t>3-5 Brigades</t>
  </si>
  <si>
    <t>1-2 Brigades</t>
  </si>
  <si>
    <t>Figure(s) Only</t>
  </si>
  <si>
    <r>
      <t>1%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-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14%</t>
    </r>
  </si>
  <si>
    <r>
      <t>15%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–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34%</t>
    </r>
  </si>
  <si>
    <r>
      <t>35%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-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49%</t>
    </r>
  </si>
  <si>
    <r>
      <t>50%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-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100%</t>
    </r>
  </si>
  <si>
    <t>Event / Subject</t>
  </si>
  <si>
    <t>----------      Dependent Upon Sea Power      ----------</t>
  </si>
  <si>
    <t>320/330 Calculator</t>
  </si>
  <si>
    <t>170/171 Calculator</t>
  </si>
  <si>
    <t>Agent Proficiency</t>
  </si>
  <si>
    <t>Status Points</t>
  </si>
  <si>
    <t>Hiperlinks to other pages in this workbook</t>
  </si>
  <si>
    <t>Hire Influence Cost</t>
  </si>
  <si>
    <t>Enigma encounters are for sightings that do not require combat (i.e. Portals). There is no Pass/Fail, no Chance of Death to your Leaders, nor Promotions.</t>
  </si>
  <si>
    <r>
      <rPr>
        <b/>
        <i/>
        <sz val="11"/>
        <color rgb="FF00B050"/>
        <rFont val="Calibri"/>
        <family val="2"/>
        <scheme val="minor"/>
      </rPr>
      <t>Green</t>
    </r>
    <r>
      <rPr>
        <i/>
        <sz val="11"/>
        <color theme="1"/>
        <rFont val="Calibri"/>
        <family val="2"/>
        <scheme val="minor"/>
      </rPr>
      <t xml:space="preserve"> = Attractive
</t>
    </r>
    <r>
      <rPr>
        <b/>
        <i/>
        <sz val="11"/>
        <color rgb="FF0070C0"/>
        <rFont val="Calibri"/>
        <family val="2"/>
        <scheme val="minor"/>
      </rPr>
      <t>Blue</t>
    </r>
    <r>
      <rPr>
        <i/>
        <sz val="11"/>
        <color theme="1"/>
        <rFont val="Calibri"/>
        <family val="2"/>
        <scheme val="minor"/>
      </rPr>
      <t xml:space="preserve"> = Fair
</t>
    </r>
    <r>
      <rPr>
        <b/>
        <i/>
        <sz val="11"/>
        <color theme="7" tint="-0.499984740745262"/>
        <rFont val="Calibri"/>
        <family val="2"/>
        <scheme val="minor"/>
      </rPr>
      <t>Brown</t>
    </r>
    <r>
      <rPr>
        <i/>
        <sz val="11"/>
        <color theme="1"/>
        <rFont val="Calibri"/>
        <family val="2"/>
        <scheme val="minor"/>
      </rPr>
      <t xml:space="preserve"> = not Good
</t>
    </r>
    <r>
      <rPr>
        <b/>
        <i/>
        <sz val="11"/>
        <color rgb="FFFF0000"/>
        <rFont val="Calibri"/>
        <family val="2"/>
        <scheme val="minor"/>
      </rPr>
      <t>Red</t>
    </r>
    <r>
      <rPr>
        <i/>
        <sz val="11"/>
        <color theme="1"/>
        <rFont val="Calibri"/>
        <family val="2"/>
        <scheme val="minor"/>
      </rPr>
      <t xml:space="preserve"> = Awful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</si>
</sst>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0.0_ "/>
    <numFmt numFmtId="166" formatCode="0_ "/>
    <numFmt numFmtId="167" formatCode="#,##0_ 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  <font>
      <b/>
      <i/>
      <sz val="10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name val="Calibri"/>
      <family val="2"/>
      <scheme val="minor"/>
    </font>
    <font>
      <sz val="20"/>
      <color rgb="FFFFFF00"/>
      <name val="Calibri"/>
      <family val="2"/>
      <scheme val="minor"/>
    </font>
    <font>
      <b/>
      <sz val="20"/>
      <color rgb="FFFFFF00"/>
      <name val="Calibri"/>
      <family val="2"/>
      <scheme val="minor"/>
    </font>
    <font>
      <sz val="14"/>
      <color theme="1"/>
      <name val="Copperplate Gothic Bold"/>
      <family val="2"/>
    </font>
    <font>
      <i/>
      <sz val="10"/>
      <color theme="0" tint="-0.499984740745262"/>
      <name val="Calibri"/>
      <family val="2"/>
      <scheme val="minor"/>
    </font>
    <font>
      <b/>
      <sz val="14"/>
      <color theme="1"/>
      <name val="Copperplate Gothic Bold"/>
      <family val="2"/>
    </font>
    <font>
      <b/>
      <sz val="22"/>
      <color rgb="FFFFFF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2060"/>
      <name val="Calibri"/>
      <family val="2"/>
    </font>
    <font>
      <b/>
      <sz val="11"/>
      <color theme="1"/>
      <name val="Calibri"/>
      <family val="2"/>
    </font>
    <font>
      <b/>
      <sz val="13"/>
      <color rgb="FF000000"/>
      <name val="Calibri"/>
      <family val="2"/>
    </font>
    <font>
      <sz val="12"/>
      <color rgb="FF000000"/>
      <name val="Calibri"/>
      <family val="2"/>
    </font>
    <font>
      <b/>
      <sz val="22"/>
      <color rgb="FFFFFF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7" tint="-0.499984740745262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sz val="10"/>
      <name val="Calibri"/>
      <family val="2"/>
    </font>
    <font>
      <sz val="10"/>
      <color theme="0"/>
      <name val="Calibri"/>
      <family val="2"/>
    </font>
    <font>
      <b/>
      <i/>
      <sz val="11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16"/>
      <color rgb="FF002060"/>
      <name val="Calibri"/>
      <family val="2"/>
      <scheme val="minor"/>
    </font>
    <font>
      <i/>
      <sz val="16"/>
      <color rgb="FF002060"/>
      <name val="Calibri"/>
      <family val="2"/>
      <scheme val="minor"/>
    </font>
    <font>
      <i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FFFF00"/>
      <name val="Calibri"/>
      <family val="2"/>
      <scheme val="minor"/>
    </font>
    <font>
      <i/>
      <u/>
      <sz val="10"/>
      <color rgb="FF00206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51" fillId="0" borderId="0"/>
  </cellStyleXfs>
  <cellXfs count="476">
    <xf numFmtId="0" fontId="0" fillId="0" borderId="0" xfId="0"/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left" indent="1"/>
    </xf>
    <xf numFmtId="0" fontId="4" fillId="0" borderId="0" xfId="0" applyFont="1" applyAlignment="1" applyProtection="1">
      <alignment horizontal="left" indent="1"/>
    </xf>
    <xf numFmtId="0" fontId="0" fillId="0" borderId="0" xfId="0" applyAlignment="1" applyProtection="1">
      <alignment horizontal="left" indent="3"/>
    </xf>
    <xf numFmtId="0" fontId="0" fillId="0" borderId="0" xfId="0" applyAlignment="1" applyProtection="1">
      <alignment horizontal="left" indent="2"/>
    </xf>
    <xf numFmtId="39" fontId="4" fillId="2" borderId="9" xfId="1" applyNumberFormat="1" applyFont="1" applyFill="1" applyBorder="1" applyAlignment="1" applyProtection="1">
      <alignment horizontal="center"/>
      <protection locked="0"/>
    </xf>
    <xf numFmtId="39" fontId="4" fillId="2" borderId="10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0" fillId="0" borderId="0" xfId="0" applyFill="1" applyAlignment="1" applyProtection="1">
      <alignment horizontal="center" wrapText="1"/>
    </xf>
    <xf numFmtId="0" fontId="0" fillId="3" borderId="12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0" xfId="0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2" borderId="12" xfId="0" applyFill="1" applyBorder="1"/>
    <xf numFmtId="0" fontId="6" fillId="2" borderId="13" xfId="0" applyFont="1" applyFill="1" applyBorder="1" applyAlignment="1"/>
    <xf numFmtId="0" fontId="6" fillId="2" borderId="14" xfId="0" applyFont="1" applyFill="1" applyBorder="1" applyAlignment="1"/>
    <xf numFmtId="0" fontId="0" fillId="3" borderId="0" xfId="0" applyFill="1" applyBorder="1" applyAlignment="1">
      <alignment horizontal="left" indent="1"/>
    </xf>
    <xf numFmtId="0" fontId="2" fillId="3" borderId="15" xfId="0" applyFont="1" applyFill="1" applyBorder="1" applyAlignment="1">
      <alignment horizontal="right" vertical="center"/>
    </xf>
    <xf numFmtId="0" fontId="16" fillId="3" borderId="6" xfId="0" applyFont="1" applyFill="1" applyBorder="1" applyAlignment="1">
      <alignment horizontal="left" indent="5"/>
    </xf>
    <xf numFmtId="0" fontId="0" fillId="3" borderId="6" xfId="0" applyFill="1" applyBorder="1"/>
    <xf numFmtId="37" fontId="4" fillId="2" borderId="9" xfId="1" applyNumberFormat="1" applyFont="1" applyFill="1" applyBorder="1" applyAlignment="1" applyProtection="1">
      <alignment horizontal="center"/>
      <protection locked="0"/>
    </xf>
    <xf numFmtId="0" fontId="16" fillId="3" borderId="0" xfId="0" applyFont="1" applyFill="1" applyBorder="1" applyAlignment="1">
      <alignment horizontal="left" indent="5"/>
    </xf>
    <xf numFmtId="0" fontId="4" fillId="3" borderId="0" xfId="0" applyFont="1" applyFill="1" applyBorder="1" applyAlignment="1">
      <alignment horizontal="left" indent="1"/>
    </xf>
    <xf numFmtId="0" fontId="0" fillId="3" borderId="18" xfId="0" applyFill="1" applyBorder="1" applyAlignment="1">
      <alignment horizontal="left" indent="3"/>
    </xf>
    <xf numFmtId="0" fontId="0" fillId="3" borderId="18" xfId="0" applyFill="1" applyBorder="1" applyAlignment="1">
      <alignment horizontal="left" indent="2"/>
    </xf>
    <xf numFmtId="0" fontId="4" fillId="3" borderId="18" xfId="0" applyFont="1" applyFill="1" applyBorder="1" applyAlignment="1">
      <alignment horizontal="left" indent="1"/>
    </xf>
    <xf numFmtId="0" fontId="10" fillId="2" borderId="14" xfId="2" applyFill="1" applyBorder="1" applyAlignment="1" applyProtection="1">
      <alignment horizontal="center" vertical="center"/>
    </xf>
    <xf numFmtId="0" fontId="0" fillId="3" borderId="0" xfId="0" applyFill="1" applyBorder="1" applyAlignment="1">
      <alignment horizontal="left" indent="3"/>
    </xf>
    <xf numFmtId="0" fontId="0" fillId="3" borderId="0" xfId="0" applyFill="1" applyBorder="1" applyAlignment="1">
      <alignment horizontal="left" indent="2"/>
    </xf>
    <xf numFmtId="0" fontId="23" fillId="2" borderId="9" xfId="0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right"/>
    </xf>
    <xf numFmtId="0" fontId="12" fillId="3" borderId="0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left" indent="5"/>
    </xf>
    <xf numFmtId="0" fontId="18" fillId="3" borderId="0" xfId="0" applyFont="1" applyFill="1" applyBorder="1" applyAlignment="1">
      <alignment horizontal="left" indent="7"/>
    </xf>
    <xf numFmtId="0" fontId="14" fillId="3" borderId="0" xfId="0" applyFont="1" applyFill="1" applyBorder="1" applyAlignment="1">
      <alignment horizontal="right"/>
    </xf>
    <xf numFmtId="0" fontId="13" fillId="3" borderId="0" xfId="0" applyFont="1" applyFill="1" applyBorder="1" applyAlignment="1">
      <alignment horizontal="left" indent="8"/>
    </xf>
    <xf numFmtId="0" fontId="13" fillId="3" borderId="0" xfId="0" applyFont="1" applyFill="1" applyBorder="1" applyAlignment="1"/>
    <xf numFmtId="0" fontId="13" fillId="3" borderId="0" xfId="0" applyFont="1" applyFill="1" applyBorder="1" applyAlignment="1">
      <alignment horizontal="left"/>
    </xf>
    <xf numFmtId="0" fontId="0" fillId="3" borderId="18" xfId="0" applyFill="1" applyBorder="1" applyAlignment="1">
      <alignment horizontal="left" indent="1"/>
    </xf>
    <xf numFmtId="0" fontId="16" fillId="3" borderId="13" xfId="0" applyFont="1" applyFill="1" applyBorder="1" applyAlignment="1">
      <alignment horizontal="left" indent="5"/>
    </xf>
    <xf numFmtId="0" fontId="0" fillId="3" borderId="13" xfId="0" applyFill="1" applyBorder="1"/>
    <xf numFmtId="0" fontId="4" fillId="3" borderId="13" xfId="0" applyFont="1" applyFill="1" applyBorder="1" applyAlignment="1">
      <alignment horizontal="left" indent="1"/>
    </xf>
    <xf numFmtId="0" fontId="2" fillId="3" borderId="0" xfId="0" applyFont="1" applyFill="1" applyBorder="1" applyAlignment="1">
      <alignment horizontal="center"/>
    </xf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0" borderId="0" xfId="0" applyAlignment="1">
      <alignment horizont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3" borderId="25" xfId="0" applyFill="1" applyBorder="1"/>
    <xf numFmtId="0" fontId="0" fillId="3" borderId="0" xfId="0" applyFill="1" applyBorder="1" applyProtection="1"/>
    <xf numFmtId="0" fontId="16" fillId="3" borderId="6" xfId="0" applyFont="1" applyFill="1" applyBorder="1" applyAlignment="1" applyProtection="1">
      <alignment horizontal="left" indent="5"/>
    </xf>
    <xf numFmtId="0" fontId="0" fillId="3" borderId="6" xfId="0" applyFill="1" applyBorder="1" applyProtection="1"/>
    <xf numFmtId="0" fontId="12" fillId="3" borderId="0" xfId="0" applyFont="1" applyFill="1" applyBorder="1" applyAlignment="1" applyProtection="1">
      <alignment horizontal="center" wrapText="1"/>
    </xf>
    <xf numFmtId="0" fontId="0" fillId="3" borderId="6" xfId="0" applyFill="1" applyBorder="1" applyAlignment="1" applyProtection="1">
      <alignment horizontal="left" indent="1"/>
    </xf>
    <xf numFmtId="0" fontId="16" fillId="3" borderId="0" xfId="0" applyFont="1" applyFill="1" applyBorder="1" applyAlignment="1" applyProtection="1">
      <alignment horizontal="left" indent="5"/>
    </xf>
    <xf numFmtId="0" fontId="18" fillId="3" borderId="0" xfId="0" applyFont="1" applyFill="1" applyBorder="1" applyAlignment="1" applyProtection="1">
      <alignment horizontal="left"/>
    </xf>
    <xf numFmtId="0" fontId="18" fillId="3" borderId="0" xfId="0" applyFont="1" applyFill="1" applyBorder="1" applyAlignment="1" applyProtection="1">
      <alignment horizontal="left" indent="1"/>
    </xf>
    <xf numFmtId="0" fontId="14" fillId="3" borderId="0" xfId="0" applyFont="1" applyFill="1" applyBorder="1" applyAlignment="1" applyProtection="1">
      <alignment horizontal="right"/>
    </xf>
    <xf numFmtId="0" fontId="14" fillId="3" borderId="0" xfId="0" applyFont="1" applyFill="1" applyBorder="1" applyAlignment="1" applyProtection="1">
      <alignment horizontal="left" indent="1"/>
    </xf>
    <xf numFmtId="0" fontId="13" fillId="3" borderId="0" xfId="0" applyFont="1" applyFill="1" applyBorder="1" applyAlignment="1" applyProtection="1"/>
    <xf numFmtId="0" fontId="13" fillId="3" borderId="0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 inden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</xf>
    <xf numFmtId="0" fontId="0" fillId="3" borderId="12" xfId="0" applyFill="1" applyBorder="1" applyProtection="1"/>
    <xf numFmtId="0" fontId="0" fillId="3" borderId="14" xfId="0" applyFill="1" applyBorder="1" applyProtection="1"/>
    <xf numFmtId="0" fontId="0" fillId="3" borderId="15" xfId="0" applyFill="1" applyBorder="1" applyProtection="1"/>
    <xf numFmtId="0" fontId="0" fillId="3" borderId="16" xfId="0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0" fillId="3" borderId="19" xfId="0" applyFill="1" applyBorder="1" applyProtection="1"/>
    <xf numFmtId="0" fontId="0" fillId="2" borderId="12" xfId="0" applyFill="1" applyBorder="1" applyProtection="1"/>
    <xf numFmtId="0" fontId="6" fillId="2" borderId="13" xfId="0" applyFont="1" applyFill="1" applyBorder="1" applyAlignment="1" applyProtection="1"/>
    <xf numFmtId="0" fontId="2" fillId="3" borderId="15" xfId="0" applyFont="1" applyFill="1" applyBorder="1" applyAlignment="1" applyProtection="1">
      <alignment horizontal="right" vertical="center"/>
    </xf>
    <xf numFmtId="0" fontId="4" fillId="3" borderId="0" xfId="0" applyFont="1" applyFill="1" applyBorder="1" applyAlignment="1" applyProtection="1">
      <alignment horizontal="left" indent="1"/>
    </xf>
    <xf numFmtId="0" fontId="0" fillId="3" borderId="18" xfId="0" applyFill="1" applyBorder="1" applyAlignment="1" applyProtection="1">
      <alignment horizontal="left" indent="3"/>
    </xf>
    <xf numFmtId="0" fontId="0" fillId="3" borderId="18" xfId="0" applyFill="1" applyBorder="1" applyAlignment="1" applyProtection="1">
      <alignment horizontal="left" indent="2"/>
    </xf>
    <xf numFmtId="0" fontId="4" fillId="3" borderId="18" xfId="0" applyFont="1" applyFill="1" applyBorder="1" applyAlignment="1" applyProtection="1">
      <alignment horizontal="left" indent="1"/>
    </xf>
    <xf numFmtId="0" fontId="6" fillId="2" borderId="13" xfId="0" applyFont="1" applyFill="1" applyBorder="1" applyAlignment="1" applyProtection="1">
      <alignment horizontal="left" indent="4"/>
    </xf>
    <xf numFmtId="0" fontId="6" fillId="2" borderId="13" xfId="0" applyFont="1" applyFill="1" applyBorder="1" applyAlignment="1" applyProtection="1">
      <alignment horizontal="left" indent="1"/>
    </xf>
    <xf numFmtId="0" fontId="5" fillId="2" borderId="13" xfId="0" applyFont="1" applyFill="1" applyBorder="1" applyAlignment="1" applyProtection="1"/>
    <xf numFmtId="0" fontId="0" fillId="2" borderId="14" xfId="0" applyFill="1" applyBorder="1" applyProtection="1"/>
    <xf numFmtId="0" fontId="0" fillId="3" borderId="0" xfId="0" applyFill="1" applyBorder="1" applyAlignment="1" applyProtection="1">
      <alignment horizontal="left" indent="3"/>
    </xf>
    <xf numFmtId="0" fontId="0" fillId="3" borderId="0" xfId="0" applyFill="1" applyBorder="1" applyAlignment="1" applyProtection="1">
      <alignment horizontal="left" indent="2"/>
    </xf>
    <xf numFmtId="0" fontId="2" fillId="3" borderId="15" xfId="0" applyFont="1" applyFill="1" applyBorder="1" applyAlignment="1" applyProtection="1">
      <alignment horizontal="right"/>
    </xf>
    <xf numFmtId="0" fontId="11" fillId="3" borderId="0" xfId="0" applyFont="1" applyFill="1" applyBorder="1" applyAlignment="1" applyProtection="1">
      <alignment horizontal="left" indent="5"/>
    </xf>
    <xf numFmtId="0" fontId="0" fillId="3" borderId="13" xfId="0" applyFill="1" applyBorder="1" applyProtection="1"/>
    <xf numFmtId="0" fontId="0" fillId="3" borderId="23" xfId="0" applyFill="1" applyBorder="1" applyProtection="1"/>
    <xf numFmtId="0" fontId="0" fillId="3" borderId="30" xfId="0" applyFill="1" applyBorder="1" applyProtection="1"/>
    <xf numFmtId="0" fontId="0" fillId="3" borderId="31" xfId="0" applyFill="1" applyBorder="1" applyProtection="1"/>
    <xf numFmtId="0" fontId="29" fillId="3" borderId="4" xfId="0" applyFont="1" applyFill="1" applyBorder="1" applyAlignment="1" applyProtection="1">
      <alignment horizontal="center" wrapText="1"/>
    </xf>
    <xf numFmtId="0" fontId="29" fillId="3" borderId="3" xfId="0" applyFont="1" applyFill="1" applyBorder="1" applyAlignment="1" applyProtection="1">
      <alignment horizontal="center" wrapText="1"/>
    </xf>
    <xf numFmtId="0" fontId="15" fillId="3" borderId="0" xfId="0" applyFont="1" applyFill="1" applyAlignment="1" applyProtection="1">
      <alignment horizontal="center" wrapText="1"/>
    </xf>
    <xf numFmtId="0" fontId="30" fillId="3" borderId="0" xfId="0" applyFont="1" applyFill="1" applyAlignment="1" applyProtection="1">
      <alignment horizontal="center" wrapText="1"/>
    </xf>
    <xf numFmtId="0" fontId="31" fillId="3" borderId="4" xfId="0" applyFont="1" applyFill="1" applyBorder="1" applyAlignment="1" applyProtection="1">
      <alignment horizontal="center" wrapText="1"/>
    </xf>
    <xf numFmtId="0" fontId="29" fillId="3" borderId="1" xfId="0" applyFont="1" applyFill="1" applyBorder="1" applyAlignment="1" applyProtection="1">
      <alignment horizontal="center" wrapText="1"/>
    </xf>
    <xf numFmtId="0" fontId="15" fillId="3" borderId="0" xfId="0" quotePrefix="1" applyFont="1" applyFill="1" applyAlignment="1" applyProtection="1">
      <alignment horizontal="center" wrapText="1"/>
    </xf>
    <xf numFmtId="0" fontId="15" fillId="3" borderId="0" xfId="0" applyFont="1" applyFill="1" applyAlignment="1" applyProtection="1">
      <alignment wrapText="1"/>
    </xf>
    <xf numFmtId="0" fontId="32" fillId="3" borderId="0" xfId="0" applyFont="1" applyFill="1" applyAlignment="1" applyProtection="1">
      <alignment horizontal="center" wrapText="1"/>
    </xf>
    <xf numFmtId="1" fontId="15" fillId="3" borderId="5" xfId="0" applyNumberFormat="1" applyFont="1" applyFill="1" applyBorder="1" applyAlignment="1" applyProtection="1">
      <alignment horizontal="center" wrapText="1"/>
      <protection locked="0"/>
    </xf>
    <xf numFmtId="2" fontId="15" fillId="3" borderId="0" xfId="0" applyNumberFormat="1" applyFont="1" applyFill="1" applyAlignment="1" applyProtection="1">
      <alignment horizontal="center" wrapText="1"/>
      <protection locked="0"/>
    </xf>
    <xf numFmtId="164" fontId="15" fillId="3" borderId="0" xfId="0" applyNumberFormat="1" applyFont="1" applyFill="1" applyAlignment="1" applyProtection="1">
      <alignment horizontal="center" wrapText="1"/>
      <protection locked="0"/>
    </xf>
    <xf numFmtId="2" fontId="15" fillId="3" borderId="11" xfId="0" applyNumberFormat="1" applyFont="1" applyFill="1" applyBorder="1" applyAlignment="1" applyProtection="1">
      <alignment horizontal="center" wrapText="1"/>
      <protection locked="0"/>
    </xf>
    <xf numFmtId="1" fontId="15" fillId="3" borderId="11" xfId="0" applyNumberFormat="1" applyFont="1" applyFill="1" applyBorder="1" applyAlignment="1" applyProtection="1">
      <alignment horizontal="center" wrapText="1"/>
      <protection locked="0"/>
    </xf>
    <xf numFmtId="0" fontId="15" fillId="3" borderId="0" xfId="0" applyFont="1" applyFill="1" applyAlignment="1" applyProtection="1">
      <alignment horizontal="center" wrapText="1"/>
      <protection locked="0"/>
    </xf>
    <xf numFmtId="2" fontId="15" fillId="3" borderId="1" xfId="0" applyNumberFormat="1" applyFont="1" applyFill="1" applyBorder="1" applyAlignment="1" applyProtection="1">
      <alignment horizontal="center" wrapText="1"/>
      <protection locked="0"/>
    </xf>
    <xf numFmtId="0" fontId="15" fillId="3" borderId="8" xfId="0" applyFont="1" applyFill="1" applyBorder="1" applyAlignment="1" applyProtection="1">
      <alignment horizontal="center" wrapText="1"/>
      <protection locked="0"/>
    </xf>
    <xf numFmtId="164" fontId="15" fillId="3" borderId="8" xfId="0" applyNumberFormat="1" applyFont="1" applyFill="1" applyBorder="1" applyAlignment="1" applyProtection="1">
      <alignment horizontal="center" wrapText="1"/>
      <protection locked="0"/>
    </xf>
    <xf numFmtId="2" fontId="15" fillId="3" borderId="8" xfId="0" applyNumberFormat="1" applyFont="1" applyFill="1" applyBorder="1" applyAlignment="1" applyProtection="1">
      <alignment horizontal="center" wrapText="1"/>
      <protection locked="0"/>
    </xf>
    <xf numFmtId="0" fontId="15" fillId="3" borderId="7" xfId="0" applyFont="1" applyFill="1" applyBorder="1" applyAlignment="1" applyProtection="1">
      <alignment horizontal="center" wrapText="1"/>
      <protection locked="0"/>
    </xf>
    <xf numFmtId="2" fontId="15" fillId="3" borderId="7" xfId="0" applyNumberFormat="1" applyFont="1" applyFill="1" applyBorder="1" applyAlignment="1" applyProtection="1">
      <alignment horizontal="center" wrapText="1"/>
      <protection locked="0"/>
    </xf>
    <xf numFmtId="2" fontId="15" fillId="3" borderId="29" xfId="0" applyNumberFormat="1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30" fillId="3" borderId="4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30" fillId="3" borderId="26" xfId="0" applyFont="1" applyFill="1" applyBorder="1" applyAlignment="1">
      <alignment horizontal="center"/>
    </xf>
    <xf numFmtId="0" fontId="15" fillId="3" borderId="27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1" fontId="15" fillId="3" borderId="5" xfId="0" applyNumberFormat="1" applyFont="1" applyFill="1" applyBorder="1" applyAlignment="1">
      <alignment horizontal="center"/>
    </xf>
    <xf numFmtId="2" fontId="15" fillId="3" borderId="0" xfId="0" applyNumberFormat="1" applyFont="1" applyFill="1" applyAlignment="1">
      <alignment horizontal="center"/>
    </xf>
    <xf numFmtId="2" fontId="15" fillId="3" borderId="1" xfId="0" applyNumberFormat="1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 wrapText="1"/>
    </xf>
    <xf numFmtId="0" fontId="15" fillId="3" borderId="0" xfId="0" quotePrefix="1" applyFont="1" applyFill="1" applyAlignment="1">
      <alignment horizontal="center"/>
    </xf>
    <xf numFmtId="0" fontId="29" fillId="3" borderId="28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2" fontId="15" fillId="3" borderId="8" xfId="0" applyNumberFormat="1" applyFont="1" applyFill="1" applyBorder="1" applyAlignment="1">
      <alignment horizontal="center"/>
    </xf>
    <xf numFmtId="0" fontId="15" fillId="3" borderId="2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34" fillId="3" borderId="0" xfId="0" applyFont="1" applyFill="1" applyAlignment="1">
      <alignment horizontal="center"/>
    </xf>
    <xf numFmtId="0" fontId="3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3" borderId="14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38" fillId="3" borderId="55" xfId="0" applyFont="1" applyFill="1" applyBorder="1" applyAlignment="1">
      <alignment horizontal="center" vertical="center"/>
    </xf>
    <xf numFmtId="0" fontId="38" fillId="3" borderId="5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36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54" xfId="0" applyFont="1" applyFill="1" applyBorder="1" applyAlignment="1">
      <alignment horizontal="center" vertical="center"/>
    </xf>
    <xf numFmtId="0" fontId="3" fillId="4" borderId="54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11" fillId="3" borderId="55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1" fillId="3" borderId="55" xfId="0" applyFont="1" applyFill="1" applyBorder="1" applyAlignment="1">
      <alignment horizontal="left" vertical="center" indent="1"/>
    </xf>
    <xf numFmtId="0" fontId="11" fillId="3" borderId="8" xfId="0" applyFont="1" applyFill="1" applyBorder="1" applyAlignment="1">
      <alignment horizontal="left" vertical="center" indent="1"/>
    </xf>
    <xf numFmtId="0" fontId="11" fillId="3" borderId="56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41" fillId="0" borderId="0" xfId="0" applyFont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1" fillId="0" borderId="0" xfId="0" applyFont="1" applyBorder="1" applyAlignment="1">
      <alignment vertical="center"/>
    </xf>
    <xf numFmtId="0" fontId="46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9" fontId="43" fillId="0" borderId="0" xfId="0" applyNumberFormat="1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3" borderId="0" xfId="0" applyFont="1" applyFill="1" applyBorder="1" applyAlignment="1">
      <alignment horizontal="center" vertical="center"/>
    </xf>
    <xf numFmtId="0" fontId="45" fillId="3" borderId="45" xfId="0" applyNumberFormat="1" applyFont="1" applyFill="1" applyBorder="1" applyAlignment="1">
      <alignment horizontal="center" vertical="center"/>
    </xf>
    <xf numFmtId="0" fontId="45" fillId="3" borderId="47" xfId="0" applyNumberFormat="1" applyFont="1" applyFill="1" applyBorder="1" applyAlignment="1">
      <alignment horizontal="center" vertical="center"/>
    </xf>
    <xf numFmtId="0" fontId="45" fillId="3" borderId="51" xfId="0" applyNumberFormat="1" applyFont="1" applyFill="1" applyBorder="1" applyAlignment="1">
      <alignment horizontal="center" vertical="center"/>
    </xf>
    <xf numFmtId="0" fontId="45" fillId="3" borderId="39" xfId="0" applyNumberFormat="1" applyFont="1" applyFill="1" applyBorder="1" applyAlignment="1">
      <alignment horizontal="center" vertical="center"/>
    </xf>
    <xf numFmtId="0" fontId="45" fillId="3" borderId="35" xfId="0" applyNumberFormat="1" applyFont="1" applyFill="1" applyBorder="1" applyAlignment="1">
      <alignment horizontal="center" vertical="center"/>
    </xf>
    <xf numFmtId="0" fontId="45" fillId="3" borderId="49" xfId="0" applyNumberFormat="1" applyFont="1" applyFill="1" applyBorder="1" applyAlignment="1">
      <alignment horizontal="center" vertical="center"/>
    </xf>
    <xf numFmtId="0" fontId="45" fillId="3" borderId="50" xfId="0" applyNumberFormat="1" applyFont="1" applyFill="1" applyBorder="1" applyAlignment="1">
      <alignment horizontal="center" vertical="center"/>
    </xf>
    <xf numFmtId="0" fontId="45" fillId="3" borderId="53" xfId="0" applyNumberFormat="1" applyFont="1" applyFill="1" applyBorder="1" applyAlignment="1">
      <alignment horizontal="center" vertical="center"/>
    </xf>
    <xf numFmtId="0" fontId="45" fillId="3" borderId="5" xfId="0" applyNumberFormat="1" applyFont="1" applyFill="1" applyBorder="1" applyAlignment="1">
      <alignment horizontal="center" vertical="center"/>
    </xf>
    <xf numFmtId="0" fontId="45" fillId="3" borderId="33" xfId="0" applyNumberFormat="1" applyFont="1" applyFill="1" applyBorder="1" applyAlignment="1">
      <alignment horizontal="center" vertical="center"/>
    </xf>
    <xf numFmtId="0" fontId="45" fillId="3" borderId="46" xfId="0" applyNumberFormat="1" applyFont="1" applyFill="1" applyBorder="1" applyAlignment="1">
      <alignment horizontal="center" vertical="center"/>
    </xf>
    <xf numFmtId="0" fontId="45" fillId="3" borderId="48" xfId="0" applyNumberFormat="1" applyFont="1" applyFill="1" applyBorder="1" applyAlignment="1">
      <alignment horizontal="center" vertical="center"/>
    </xf>
    <xf numFmtId="0" fontId="45" fillId="3" borderId="52" xfId="0" applyNumberFormat="1" applyFont="1" applyFill="1" applyBorder="1" applyAlignment="1">
      <alignment horizontal="center" vertical="center"/>
    </xf>
    <xf numFmtId="0" fontId="45" fillId="3" borderId="40" xfId="0" applyNumberFormat="1" applyFont="1" applyFill="1" applyBorder="1" applyAlignment="1">
      <alignment horizontal="center" vertical="center"/>
    </xf>
    <xf numFmtId="0" fontId="45" fillId="3" borderId="34" xfId="0" applyNumberFormat="1" applyFont="1" applyFill="1" applyBorder="1" applyAlignment="1">
      <alignment horizontal="center" vertical="center"/>
    </xf>
    <xf numFmtId="0" fontId="48" fillId="3" borderId="32" xfId="0" applyFont="1" applyFill="1" applyBorder="1" applyAlignment="1">
      <alignment horizontal="center" vertical="center"/>
    </xf>
    <xf numFmtId="0" fontId="48" fillId="3" borderId="41" xfId="0" applyFont="1" applyFill="1" applyBorder="1" applyAlignment="1">
      <alignment horizontal="center" vertical="center"/>
    </xf>
    <xf numFmtId="0" fontId="48" fillId="3" borderId="42" xfId="0" applyFont="1" applyFill="1" applyBorder="1" applyAlignment="1">
      <alignment horizontal="center" vertical="center"/>
    </xf>
    <xf numFmtId="0" fontId="43" fillId="2" borderId="46" xfId="0" applyFont="1" applyFill="1" applyBorder="1" applyAlignment="1">
      <alignment horizontal="center" vertical="center" wrapText="1"/>
    </xf>
    <xf numFmtId="0" fontId="43" fillId="2" borderId="48" xfId="0" applyFont="1" applyFill="1" applyBorder="1" applyAlignment="1">
      <alignment horizontal="center" vertical="center" wrapText="1"/>
    </xf>
    <xf numFmtId="0" fontId="43" fillId="2" borderId="52" xfId="0" applyFont="1" applyFill="1" applyBorder="1" applyAlignment="1">
      <alignment horizontal="center" vertical="center" wrapText="1"/>
    </xf>
    <xf numFmtId="0" fontId="43" fillId="2" borderId="40" xfId="0" applyFont="1" applyFill="1" applyBorder="1" applyAlignment="1">
      <alignment horizontal="center" vertical="center" wrapText="1"/>
    </xf>
    <xf numFmtId="0" fontId="43" fillId="2" borderId="34" xfId="0" applyFont="1" applyFill="1" applyBorder="1" applyAlignment="1">
      <alignment horizontal="center" vertical="center" wrapText="1"/>
    </xf>
    <xf numFmtId="0" fontId="38" fillId="3" borderId="8" xfId="0" applyFont="1" applyFill="1" applyBorder="1" applyAlignment="1">
      <alignment horizontal="center" vertical="center"/>
    </xf>
    <xf numFmtId="1" fontId="11" fillId="3" borderId="8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0" xfId="0" applyAlignment="1" applyProtection="1">
      <alignment vertical="center"/>
    </xf>
    <xf numFmtId="0" fontId="0" fillId="5" borderId="0" xfId="0" applyFill="1" applyAlignment="1" applyProtection="1">
      <alignment vertical="center"/>
    </xf>
    <xf numFmtId="0" fontId="52" fillId="6" borderId="1" xfId="4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3" borderId="0" xfId="0" applyFill="1" applyAlignment="1" applyProtection="1">
      <alignment vertical="center"/>
    </xf>
    <xf numFmtId="0" fontId="0" fillId="3" borderId="0" xfId="0" applyFill="1" applyAlignment="1" applyProtection="1">
      <alignment horizontal="center" vertical="center"/>
    </xf>
    <xf numFmtId="0" fontId="52" fillId="3" borderId="1" xfId="4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15" xfId="0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17" fillId="3" borderId="15" xfId="0" applyFont="1" applyFill="1" applyBorder="1" applyAlignment="1" applyProtection="1">
      <alignment horizontal="center" vertical="center"/>
    </xf>
    <xf numFmtId="0" fontId="17" fillId="3" borderId="16" xfId="0" applyFont="1" applyFill="1" applyBorder="1" applyAlignment="1" applyProtection="1">
      <alignment horizontal="center" vertical="center"/>
    </xf>
    <xf numFmtId="0" fontId="0" fillId="3" borderId="5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58" xfId="0" applyFill="1" applyBorder="1" applyAlignment="1">
      <alignment vertical="center"/>
    </xf>
    <xf numFmtId="0" fontId="0" fillId="3" borderId="15" xfId="0" applyFill="1" applyBorder="1" applyAlignment="1" applyProtection="1">
      <alignment vertical="center"/>
    </xf>
    <xf numFmtId="0" fontId="0" fillId="3" borderId="16" xfId="0" applyFill="1" applyBorder="1" applyAlignment="1" applyProtection="1">
      <alignment vertical="center"/>
    </xf>
    <xf numFmtId="0" fontId="53" fillId="3" borderId="0" xfId="0" applyFont="1" applyFill="1" applyAlignment="1" applyProtection="1">
      <alignment horizontal="right" vertical="center"/>
    </xf>
    <xf numFmtId="0" fontId="4" fillId="3" borderId="0" xfId="0" applyFont="1" applyFill="1" applyAlignment="1" applyProtection="1">
      <alignment horizontal="center" vertical="center"/>
    </xf>
    <xf numFmtId="0" fontId="54" fillId="3" borderId="15" xfId="0" applyFont="1" applyFill="1" applyBorder="1" applyAlignment="1">
      <alignment horizontal="left" vertical="center"/>
    </xf>
    <xf numFmtId="0" fontId="54" fillId="3" borderId="0" xfId="0" applyFont="1" applyFill="1" applyBorder="1" applyAlignment="1">
      <alignment horizontal="left" vertical="center"/>
    </xf>
    <xf numFmtId="0" fontId="54" fillId="3" borderId="6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0" fillId="3" borderId="17" xfId="0" applyFill="1" applyBorder="1" applyAlignment="1" applyProtection="1">
      <alignment vertical="center"/>
    </xf>
    <xf numFmtId="0" fontId="0" fillId="3" borderId="18" xfId="0" applyFill="1" applyBorder="1" applyAlignment="1" applyProtection="1">
      <alignment vertical="center"/>
    </xf>
    <xf numFmtId="0" fontId="0" fillId="3" borderId="19" xfId="0" applyFill="1" applyBorder="1" applyAlignment="1" applyProtection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9" fontId="0" fillId="3" borderId="1" xfId="3" applyFont="1" applyFill="1" applyBorder="1" applyAlignment="1" applyProtection="1">
      <alignment horizontal="center" vertical="center"/>
    </xf>
    <xf numFmtId="0" fontId="53" fillId="3" borderId="0" xfId="0" quotePrefix="1" applyFont="1" applyFill="1" applyBorder="1" applyAlignment="1">
      <alignment horizontal="right" vertical="center"/>
    </xf>
    <xf numFmtId="0" fontId="0" fillId="3" borderId="1" xfId="0" applyFill="1" applyBorder="1" applyAlignment="1">
      <alignment horizontal="left" vertical="center" indent="3"/>
    </xf>
    <xf numFmtId="0" fontId="0" fillId="3" borderId="1" xfId="0" applyFill="1" applyBorder="1" applyAlignment="1">
      <alignment horizontal="center"/>
    </xf>
    <xf numFmtId="9" fontId="0" fillId="3" borderId="1" xfId="3" applyNumberFormat="1" applyFont="1" applyFill="1" applyBorder="1" applyAlignment="1" applyProtection="1">
      <alignment horizontal="center" vertical="center"/>
    </xf>
    <xf numFmtId="0" fontId="41" fillId="3" borderId="1" xfId="0" applyFont="1" applyFill="1" applyBorder="1" applyAlignment="1">
      <alignment horizontal="left" vertical="center" wrapText="1" indent="3"/>
    </xf>
    <xf numFmtId="0" fontId="41" fillId="3" borderId="1" xfId="0" applyFont="1" applyFill="1" applyBorder="1" applyAlignment="1">
      <alignment horizontal="center" vertical="center" wrapText="1"/>
    </xf>
    <xf numFmtId="9" fontId="0" fillId="3" borderId="1" xfId="3" applyFont="1" applyFill="1" applyBorder="1" applyAlignment="1">
      <alignment horizontal="center"/>
    </xf>
    <xf numFmtId="0" fontId="3" fillId="3" borderId="0" xfId="0" applyFont="1" applyFill="1" applyAlignment="1" applyProtection="1">
      <alignment horizontal="center" vertical="top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1" fontId="0" fillId="3" borderId="1" xfId="0" applyNumberForma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52" fillId="6" borderId="1" xfId="4" applyFont="1" applyFill="1" applyBorder="1" applyAlignment="1">
      <alignment horizontal="center" vertical="center" wrapText="1"/>
    </xf>
    <xf numFmtId="0" fontId="3" fillId="3" borderId="0" xfId="0" applyFont="1" applyFill="1" applyAlignment="1" applyProtection="1">
      <alignment vertical="center"/>
    </xf>
    <xf numFmtId="0" fontId="0" fillId="3" borderId="1" xfId="0" applyFill="1" applyBorder="1" applyAlignment="1">
      <alignment horizontal="left" vertical="center"/>
    </xf>
    <xf numFmtId="9" fontId="0" fillId="3" borderId="0" xfId="3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/>
    </xf>
    <xf numFmtId="0" fontId="0" fillId="3" borderId="1" xfId="0" applyFill="1" applyBorder="1" applyAlignment="1">
      <alignment horizontal="left" vertical="center" indent="2"/>
    </xf>
    <xf numFmtId="0" fontId="0" fillId="3" borderId="15" xfId="0" applyFont="1" applyFill="1" applyBorder="1" applyAlignment="1" applyProtection="1">
      <alignment vertical="center" wrapText="1"/>
    </xf>
    <xf numFmtId="0" fontId="52" fillId="6" borderId="1" xfId="4" applyFont="1" applyFill="1" applyBorder="1" applyAlignment="1">
      <alignment horizontal="center" vertical="center" wrapText="1"/>
    </xf>
    <xf numFmtId="0" fontId="0" fillId="3" borderId="0" xfId="0" applyFill="1" applyAlignment="1" applyProtection="1">
      <alignment horizontal="center" wrapText="1"/>
    </xf>
    <xf numFmtId="0" fontId="0" fillId="3" borderId="0" xfId="0" applyFill="1" applyAlignment="1" applyProtection="1">
      <alignment wrapText="1"/>
    </xf>
    <xf numFmtId="0" fontId="0" fillId="3" borderId="0" xfId="0" applyFill="1" applyAlignment="1" applyProtection="1">
      <alignment horizontal="left"/>
    </xf>
    <xf numFmtId="0" fontId="0" fillId="3" borderId="0" xfId="0" applyFill="1" applyProtection="1"/>
    <xf numFmtId="0" fontId="57" fillId="3" borderId="6" xfId="0" applyFont="1" applyFill="1" applyBorder="1" applyProtection="1"/>
    <xf numFmtId="0" fontId="0" fillId="3" borderId="0" xfId="0" quotePrefix="1" applyFill="1" applyAlignment="1" applyProtection="1">
      <alignment horizontal="center" wrapText="1"/>
    </xf>
    <xf numFmtId="0" fontId="0" fillId="3" borderId="0" xfId="0" quotePrefix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/>
    <xf numFmtId="0" fontId="57" fillId="3" borderId="6" xfId="0" applyFont="1" applyFill="1" applyBorder="1"/>
    <xf numFmtId="0" fontId="0" fillId="2" borderId="1" xfId="0" applyFill="1" applyBorder="1" applyAlignment="1" applyProtection="1">
      <alignment horizontal="center" vertical="center"/>
      <protection locked="0"/>
    </xf>
    <xf numFmtId="0" fontId="16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left" vertical="center" indent="5"/>
    </xf>
    <xf numFmtId="2" fontId="0" fillId="3" borderId="1" xfId="0" applyNumberFormat="1" applyFill="1" applyBorder="1" applyAlignment="1">
      <alignment horizontal="left" vertical="center"/>
    </xf>
    <xf numFmtId="2" fontId="0" fillId="3" borderId="1" xfId="0" quotePrefix="1" applyNumberFormat="1" applyFill="1" applyBorder="1" applyAlignment="1">
      <alignment horizontal="left" vertical="center"/>
    </xf>
    <xf numFmtId="0" fontId="52" fillId="6" borderId="1" xfId="4" applyFont="1" applyFill="1" applyBorder="1" applyAlignment="1">
      <alignment horizontal="center" vertical="center" wrapText="1"/>
    </xf>
    <xf numFmtId="0" fontId="0" fillId="3" borderId="15" xfId="0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0" fontId="0" fillId="3" borderId="17" xfId="0" applyFill="1" applyBorder="1" applyAlignment="1">
      <alignment vertical="center" wrapText="1"/>
    </xf>
    <xf numFmtId="0" fontId="0" fillId="3" borderId="18" xfId="0" applyFill="1" applyBorder="1" applyAlignment="1">
      <alignment vertical="center" wrapText="1"/>
    </xf>
    <xf numFmtId="0" fontId="0" fillId="3" borderId="19" xfId="0" applyFill="1" applyBorder="1" applyAlignment="1">
      <alignment vertical="center" wrapText="1"/>
    </xf>
    <xf numFmtId="0" fontId="3" fillId="3" borderId="15" xfId="0" applyFont="1" applyFill="1" applyBorder="1" applyAlignment="1" applyProtection="1">
      <alignment vertical="center"/>
    </xf>
    <xf numFmtId="0" fontId="0" fillId="3" borderId="15" xfId="0" applyFill="1" applyBorder="1" applyAlignment="1" applyProtection="1">
      <alignment vertical="center" wrapText="1"/>
    </xf>
    <xf numFmtId="0" fontId="0" fillId="3" borderId="17" xfId="0" applyFill="1" applyBorder="1" applyAlignment="1" applyProtection="1">
      <alignment vertical="center" wrapText="1"/>
    </xf>
    <xf numFmtId="0" fontId="0" fillId="3" borderId="18" xfId="0" applyFill="1" applyBorder="1" applyAlignment="1" applyProtection="1">
      <alignment vertical="center" wrapText="1"/>
    </xf>
    <xf numFmtId="0" fontId="52" fillId="6" borderId="4" xfId="4" applyFont="1" applyFill="1" applyBorder="1" applyAlignment="1">
      <alignment horizontal="center" vertical="center" wrapText="1"/>
    </xf>
    <xf numFmtId="0" fontId="52" fillId="6" borderId="63" xfId="4" applyFont="1" applyFill="1" applyBorder="1" applyAlignment="1">
      <alignment horizontal="center" vertical="center" wrapText="1"/>
    </xf>
    <xf numFmtId="0" fontId="52" fillId="6" borderId="5" xfId="4" applyFont="1" applyFill="1" applyBorder="1" applyAlignment="1">
      <alignment horizontal="center" vertical="center" wrapText="1"/>
    </xf>
    <xf numFmtId="9" fontId="0" fillId="3" borderId="4" xfId="3" applyFont="1" applyFill="1" applyBorder="1" applyAlignment="1">
      <alignment horizontal="left"/>
    </xf>
    <xf numFmtId="9" fontId="0" fillId="3" borderId="63" xfId="3" applyFont="1" applyFill="1" applyBorder="1" applyAlignment="1">
      <alignment horizontal="left"/>
    </xf>
    <xf numFmtId="9" fontId="0" fillId="3" borderId="5" xfId="3" applyFont="1" applyFill="1" applyBorder="1" applyAlignment="1">
      <alignment horizontal="left"/>
    </xf>
    <xf numFmtId="0" fontId="0" fillId="3" borderId="4" xfId="0" applyFill="1" applyBorder="1" applyAlignment="1">
      <alignment horizontal="left" vertical="center"/>
    </xf>
    <xf numFmtId="0" fontId="0" fillId="3" borderId="63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63" xfId="0" applyFill="1" applyBorder="1" applyAlignment="1">
      <alignment horizontal="left" vertical="center" indent="3"/>
    </xf>
    <xf numFmtId="0" fontId="0" fillId="3" borderId="5" xfId="0" applyFill="1" applyBorder="1" applyAlignment="1">
      <alignment horizontal="left" vertical="center" indent="3"/>
    </xf>
    <xf numFmtId="0" fontId="0" fillId="11" borderId="0" xfId="0" applyFill="1" applyBorder="1" applyAlignment="1" applyProtection="1">
      <alignment vertical="center"/>
    </xf>
    <xf numFmtId="0" fontId="58" fillId="3" borderId="15" xfId="0" applyFont="1" applyFill="1" applyBorder="1" applyAlignment="1" applyProtection="1">
      <alignment horizontal="center" vertical="center"/>
    </xf>
    <xf numFmtId="0" fontId="6" fillId="11" borderId="61" xfId="0" applyFont="1" applyFill="1" applyBorder="1" applyAlignment="1" applyProtection="1">
      <alignment horizontal="center" vertical="center"/>
    </xf>
    <xf numFmtId="0" fontId="0" fillId="11" borderId="62" xfId="0" applyFill="1" applyBorder="1" applyAlignment="1" applyProtection="1">
      <alignment vertical="center" wrapText="1"/>
    </xf>
    <xf numFmtId="0" fontId="0" fillId="11" borderId="6" xfId="0" applyFill="1" applyBorder="1" applyAlignment="1" applyProtection="1">
      <alignment vertical="center"/>
    </xf>
    <xf numFmtId="0" fontId="0" fillId="11" borderId="67" xfId="0" applyFill="1" applyBorder="1" applyAlignment="1" applyProtection="1">
      <alignment vertical="center"/>
    </xf>
    <xf numFmtId="0" fontId="58" fillId="11" borderId="65" xfId="0" applyFont="1" applyFill="1" applyBorder="1" applyAlignment="1" applyProtection="1">
      <alignment horizontal="center" vertical="center"/>
    </xf>
    <xf numFmtId="0" fontId="0" fillId="11" borderId="66" xfId="0" applyFill="1" applyBorder="1" applyAlignment="1" applyProtection="1">
      <alignment vertical="center"/>
    </xf>
    <xf numFmtId="0" fontId="58" fillId="11" borderId="60" xfId="0" applyFont="1" applyFill="1" applyBorder="1" applyAlignment="1" applyProtection="1">
      <alignment horizontal="center" vertical="center"/>
    </xf>
    <xf numFmtId="0" fontId="58" fillId="11" borderId="64" xfId="0" applyFont="1" applyFill="1" applyBorder="1" applyAlignment="1" applyProtection="1">
      <alignment horizontal="center" vertical="center"/>
    </xf>
    <xf numFmtId="0" fontId="65" fillId="8" borderId="70" xfId="0" applyFont="1" applyFill="1" applyBorder="1" applyAlignment="1">
      <alignment horizontal="center" vertical="center" wrapText="1"/>
    </xf>
    <xf numFmtId="0" fontId="64" fillId="10" borderId="70" xfId="0" applyFont="1" applyFill="1" applyBorder="1" applyAlignment="1">
      <alignment horizontal="center" vertical="center" wrapText="1"/>
    </xf>
    <xf numFmtId="0" fontId="65" fillId="9" borderId="70" xfId="0" applyFont="1" applyFill="1" applyBorder="1" applyAlignment="1">
      <alignment horizontal="center" vertical="center" wrapText="1"/>
    </xf>
    <xf numFmtId="0" fontId="64" fillId="13" borderId="70" xfId="0" applyFont="1" applyFill="1" applyBorder="1" applyAlignment="1">
      <alignment horizontal="center" vertical="center" wrapText="1"/>
    </xf>
    <xf numFmtId="0" fontId="64" fillId="14" borderId="70" xfId="0" applyFont="1" applyFill="1" applyBorder="1" applyAlignment="1">
      <alignment horizontal="center" vertical="center" wrapText="1"/>
    </xf>
    <xf numFmtId="0" fontId="64" fillId="12" borderId="70" xfId="0" applyFont="1" applyFill="1" applyBorder="1" applyAlignment="1">
      <alignment horizontal="center" vertical="center" wrapText="1"/>
    </xf>
    <xf numFmtId="0" fontId="65" fillId="7" borderId="70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 applyProtection="1">
      <alignment horizontal="center" wrapText="1"/>
    </xf>
    <xf numFmtId="0" fontId="6" fillId="11" borderId="8" xfId="0" applyFont="1" applyFill="1" applyBorder="1" applyAlignment="1" applyProtection="1">
      <alignment horizontal="center"/>
    </xf>
    <xf numFmtId="0" fontId="65" fillId="5" borderId="71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73" fillId="0" borderId="0" xfId="0" applyFont="1" applyFill="1" applyBorder="1" applyAlignment="1">
      <alignment horizontal="left" vertical="center"/>
    </xf>
    <xf numFmtId="0" fontId="72" fillId="0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5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horizontal="left" vertical="center" indent="1"/>
    </xf>
    <xf numFmtId="0" fontId="72" fillId="0" borderId="0" xfId="0" applyFont="1" applyFill="1" applyBorder="1" applyAlignment="1">
      <alignment horizontal="left" vertical="center" indent="1"/>
    </xf>
    <xf numFmtId="0" fontId="72" fillId="3" borderId="17" xfId="0" applyFont="1" applyFill="1" applyBorder="1" applyAlignment="1">
      <alignment horizontal="left" vertical="center"/>
    </xf>
    <xf numFmtId="0" fontId="0" fillId="3" borderId="18" xfId="0" applyFont="1" applyFill="1" applyBorder="1" applyAlignment="1">
      <alignment vertical="center"/>
    </xf>
    <xf numFmtId="0" fontId="0" fillId="3" borderId="19" xfId="0" applyFont="1" applyFill="1" applyBorder="1" applyAlignment="1">
      <alignment vertical="center"/>
    </xf>
    <xf numFmtId="0" fontId="73" fillId="3" borderId="17" xfId="0" applyFont="1" applyFill="1" applyBorder="1" applyAlignment="1">
      <alignment horizontal="left" vertical="center" indent="1"/>
    </xf>
    <xf numFmtId="0" fontId="0" fillId="3" borderId="17" xfId="0" applyFont="1" applyFill="1" applyBorder="1" applyAlignment="1">
      <alignment vertical="center"/>
    </xf>
    <xf numFmtId="0" fontId="73" fillId="3" borderId="15" xfId="0" applyFont="1" applyFill="1" applyBorder="1" applyAlignment="1">
      <alignment horizontal="center" vertical="center"/>
    </xf>
    <xf numFmtId="0" fontId="72" fillId="3" borderId="15" xfId="0" applyFont="1" applyFill="1" applyBorder="1" applyAlignment="1">
      <alignment horizontal="center" vertical="center"/>
    </xf>
    <xf numFmtId="0" fontId="72" fillId="3" borderId="16" xfId="0" applyFont="1" applyFill="1" applyBorder="1" applyAlignment="1">
      <alignment horizontal="center" vertical="center"/>
    </xf>
    <xf numFmtId="166" fontId="72" fillId="3" borderId="15" xfId="0" applyNumberFormat="1" applyFont="1" applyFill="1" applyBorder="1" applyAlignment="1">
      <alignment horizontal="center" vertical="center"/>
    </xf>
    <xf numFmtId="9" fontId="72" fillId="3" borderId="0" xfId="0" applyNumberFormat="1" applyFont="1" applyFill="1" applyBorder="1" applyAlignment="1">
      <alignment horizontal="center" vertical="center"/>
    </xf>
    <xf numFmtId="9" fontId="72" fillId="3" borderId="16" xfId="0" applyNumberFormat="1" applyFont="1" applyFill="1" applyBorder="1" applyAlignment="1">
      <alignment horizontal="center" vertical="center"/>
    </xf>
    <xf numFmtId="166" fontId="72" fillId="3" borderId="0" xfId="0" applyNumberFormat="1" applyFont="1" applyFill="1" applyBorder="1" applyAlignment="1">
      <alignment horizontal="center" vertical="center"/>
    </xf>
    <xf numFmtId="165" fontId="72" fillId="3" borderId="16" xfId="0" applyNumberFormat="1" applyFont="1" applyFill="1" applyBorder="1" applyAlignment="1">
      <alignment horizontal="center" vertical="center"/>
    </xf>
    <xf numFmtId="167" fontId="72" fillId="3" borderId="0" xfId="0" applyNumberFormat="1" applyFont="1" applyFill="1" applyBorder="1" applyAlignment="1">
      <alignment horizontal="center" vertical="center"/>
    </xf>
    <xf numFmtId="0" fontId="4" fillId="3" borderId="16" xfId="0" quotePrefix="1" applyFont="1" applyFill="1" applyBorder="1" applyAlignment="1">
      <alignment horizontal="center" vertical="center"/>
    </xf>
    <xf numFmtId="0" fontId="72" fillId="3" borderId="15" xfId="0" applyFont="1" applyFill="1" applyBorder="1" applyAlignment="1">
      <alignment horizontal="left" vertical="center" indent="2"/>
    </xf>
    <xf numFmtId="0" fontId="72" fillId="3" borderId="16" xfId="0" applyFont="1" applyFill="1" applyBorder="1" applyAlignment="1">
      <alignment horizontal="left" vertical="center" indent="2"/>
    </xf>
    <xf numFmtId="9" fontId="72" fillId="3" borderId="15" xfId="0" applyNumberFormat="1" applyFont="1" applyFill="1" applyBorder="1" applyAlignment="1">
      <alignment horizontal="left" vertical="center" indent="3"/>
    </xf>
    <xf numFmtId="0" fontId="72" fillId="3" borderId="15" xfId="0" applyFont="1" applyFill="1" applyBorder="1" applyAlignment="1">
      <alignment horizontal="left" vertical="center" indent="3"/>
    </xf>
    <xf numFmtId="0" fontId="17" fillId="11" borderId="15" xfId="0" applyFont="1" applyFill="1" applyBorder="1" applyAlignment="1">
      <alignment horizontal="center" vertical="center"/>
    </xf>
    <xf numFmtId="0" fontId="17" fillId="11" borderId="0" xfId="0" applyFont="1" applyFill="1" applyBorder="1" applyAlignment="1">
      <alignment horizontal="center" vertical="center"/>
    </xf>
    <xf numFmtId="0" fontId="17" fillId="11" borderId="16" xfId="0" applyFont="1" applyFill="1" applyBorder="1" applyAlignment="1">
      <alignment horizontal="center" vertical="center"/>
    </xf>
    <xf numFmtId="0" fontId="0" fillId="11" borderId="0" xfId="0" applyFont="1" applyFill="1" applyBorder="1" applyAlignment="1">
      <alignment vertical="center"/>
    </xf>
    <xf numFmtId="0" fontId="72" fillId="11" borderId="0" xfId="0" applyFont="1" applyFill="1" applyBorder="1" applyAlignment="1">
      <alignment horizontal="left" vertical="center"/>
    </xf>
    <xf numFmtId="0" fontId="0" fillId="11" borderId="17" xfId="0" applyFont="1" applyFill="1" applyBorder="1" applyAlignment="1">
      <alignment vertical="center"/>
    </xf>
    <xf numFmtId="0" fontId="0" fillId="11" borderId="18" xfId="0" applyFont="1" applyFill="1" applyBorder="1" applyAlignment="1">
      <alignment vertical="center"/>
    </xf>
    <xf numFmtId="0" fontId="72" fillId="11" borderId="18" xfId="0" applyFont="1" applyFill="1" applyBorder="1" applyAlignment="1">
      <alignment horizontal="left" vertical="center"/>
    </xf>
    <xf numFmtId="0" fontId="73" fillId="11" borderId="18" xfId="0" applyFont="1" applyFill="1" applyBorder="1" applyAlignment="1">
      <alignment horizontal="left" vertical="center"/>
    </xf>
    <xf numFmtId="0" fontId="0" fillId="11" borderId="19" xfId="0" applyFont="1" applyFill="1" applyBorder="1" applyAlignment="1">
      <alignment vertical="center"/>
    </xf>
    <xf numFmtId="0" fontId="77" fillId="3" borderId="15" xfId="0" applyFont="1" applyFill="1" applyBorder="1" applyAlignment="1">
      <alignment horizontal="left" vertical="center" indent="4"/>
    </xf>
    <xf numFmtId="0" fontId="77" fillId="3" borderId="0" xfId="0" applyFont="1" applyFill="1" applyBorder="1" applyAlignment="1">
      <alignment horizontal="center" vertical="center"/>
    </xf>
    <xf numFmtId="0" fontId="77" fillId="3" borderId="16" xfId="0" applyFont="1" applyFill="1" applyBorder="1" applyAlignment="1">
      <alignment horizontal="center" vertical="center"/>
    </xf>
    <xf numFmtId="0" fontId="77" fillId="3" borderId="15" xfId="0" applyFont="1" applyFill="1" applyBorder="1" applyAlignment="1">
      <alignment horizontal="center" vertical="center"/>
    </xf>
    <xf numFmtId="0" fontId="72" fillId="3" borderId="0" xfId="0" applyFont="1" applyFill="1" applyBorder="1" applyAlignment="1">
      <alignment horizontal="left" vertical="center" indent="1"/>
    </xf>
    <xf numFmtId="0" fontId="72" fillId="3" borderId="16" xfId="0" applyFont="1" applyFill="1" applyBorder="1" applyAlignment="1">
      <alignment horizontal="left" vertical="center" indent="1"/>
    </xf>
    <xf numFmtId="0" fontId="76" fillId="0" borderId="0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9" fontId="72" fillId="3" borderId="0" xfId="0" quotePrefix="1" applyNumberFormat="1" applyFont="1" applyFill="1" applyBorder="1" applyAlignment="1">
      <alignment horizontal="center" vertical="center"/>
    </xf>
    <xf numFmtId="9" fontId="72" fillId="3" borderId="0" xfId="0" applyNumberFormat="1" applyFont="1" applyFill="1" applyBorder="1" applyAlignment="1">
      <alignment horizontal="center" vertical="center"/>
    </xf>
    <xf numFmtId="9" fontId="72" fillId="3" borderId="16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77" fillId="3" borderId="0" xfId="0" applyFont="1" applyFill="1" applyBorder="1" applyAlignment="1">
      <alignment horizontal="center" vertical="center"/>
    </xf>
    <xf numFmtId="0" fontId="77" fillId="3" borderId="16" xfId="0" applyFont="1" applyFill="1" applyBorder="1" applyAlignment="1">
      <alignment horizontal="center" vertical="center"/>
    </xf>
    <xf numFmtId="0" fontId="77" fillId="3" borderId="15" xfId="0" applyFont="1" applyFill="1" applyBorder="1" applyAlignment="1">
      <alignment horizontal="center" vertical="center"/>
    </xf>
    <xf numFmtId="0" fontId="72" fillId="3" borderId="18" xfId="0" applyFont="1" applyFill="1" applyBorder="1" applyAlignment="1">
      <alignment horizontal="center" vertical="center"/>
    </xf>
    <xf numFmtId="0" fontId="72" fillId="3" borderId="19" xfId="0" applyFont="1" applyFill="1" applyBorder="1" applyAlignment="1">
      <alignment horizontal="center" vertical="center"/>
    </xf>
    <xf numFmtId="0" fontId="10" fillId="11" borderId="15" xfId="2" applyFill="1" applyBorder="1" applyAlignment="1">
      <alignment horizontal="center" vertical="center"/>
    </xf>
    <xf numFmtId="0" fontId="10" fillId="11" borderId="0" xfId="2" applyFill="1" applyBorder="1" applyAlignment="1">
      <alignment horizontal="center" vertical="center"/>
    </xf>
    <xf numFmtId="0" fontId="10" fillId="11" borderId="16" xfId="2" applyFill="1" applyBorder="1" applyAlignment="1">
      <alignment horizontal="center" vertical="center"/>
    </xf>
    <xf numFmtId="0" fontId="17" fillId="11" borderId="12" xfId="0" applyFont="1" applyFill="1" applyBorder="1" applyAlignment="1">
      <alignment horizontal="center" vertical="center"/>
    </xf>
    <xf numFmtId="0" fontId="17" fillId="11" borderId="13" xfId="0" applyFont="1" applyFill="1" applyBorder="1" applyAlignment="1">
      <alignment horizontal="center" vertical="center"/>
    </xf>
    <xf numFmtId="0" fontId="17" fillId="11" borderId="14" xfId="0" applyFont="1" applyFill="1" applyBorder="1" applyAlignment="1">
      <alignment horizontal="center" vertical="center"/>
    </xf>
    <xf numFmtId="0" fontId="17" fillId="11" borderId="15" xfId="0" applyFont="1" applyFill="1" applyBorder="1" applyAlignment="1">
      <alignment horizontal="center" vertical="center"/>
    </xf>
    <xf numFmtId="0" fontId="17" fillId="11" borderId="0" xfId="0" applyFont="1" applyFill="1" applyBorder="1" applyAlignment="1">
      <alignment horizontal="center" vertical="center"/>
    </xf>
    <xf numFmtId="0" fontId="17" fillId="11" borderId="16" xfId="0" applyFont="1" applyFill="1" applyBorder="1" applyAlignment="1">
      <alignment horizontal="center" vertical="center"/>
    </xf>
    <xf numFmtId="0" fontId="74" fillId="3" borderId="15" xfId="0" applyFont="1" applyFill="1" applyBorder="1" applyAlignment="1">
      <alignment horizontal="center" vertical="center"/>
    </xf>
    <xf numFmtId="0" fontId="74" fillId="3" borderId="16" xfId="0" applyFont="1" applyFill="1" applyBorder="1" applyAlignment="1">
      <alignment horizontal="center" vertical="center"/>
    </xf>
    <xf numFmtId="0" fontId="49" fillId="0" borderId="0" xfId="0" applyFont="1" applyAlignment="1">
      <alignment horizontal="center"/>
    </xf>
    <xf numFmtId="0" fontId="49" fillId="0" borderId="0" xfId="0" applyFont="1" applyAlignment="1" applyProtection="1">
      <alignment horizontal="center"/>
    </xf>
    <xf numFmtId="0" fontId="50" fillId="3" borderId="0" xfId="0" applyFont="1" applyFill="1" applyAlignment="1" applyProtection="1">
      <alignment horizontal="center" vertical="center"/>
    </xf>
    <xf numFmtId="0" fontId="68" fillId="3" borderId="12" xfId="0" applyFont="1" applyFill="1" applyBorder="1" applyAlignment="1" applyProtection="1">
      <alignment horizontal="center" vertical="center"/>
    </xf>
    <xf numFmtId="0" fontId="68" fillId="3" borderId="13" xfId="0" applyFont="1" applyFill="1" applyBorder="1" applyAlignment="1" applyProtection="1">
      <alignment horizontal="center" vertical="center"/>
    </xf>
    <xf numFmtId="0" fontId="68" fillId="3" borderId="14" xfId="0" applyFont="1" applyFill="1" applyBorder="1" applyAlignment="1" applyProtection="1">
      <alignment horizontal="center" vertical="center"/>
    </xf>
    <xf numFmtId="0" fontId="68" fillId="3" borderId="15" xfId="0" applyFont="1" applyFill="1" applyBorder="1" applyAlignment="1" applyProtection="1">
      <alignment horizontal="center" vertical="center"/>
    </xf>
    <xf numFmtId="0" fontId="68" fillId="3" borderId="0" xfId="0" applyFont="1" applyFill="1" applyBorder="1" applyAlignment="1" applyProtection="1">
      <alignment horizontal="center" vertical="center"/>
    </xf>
    <xf numFmtId="0" fontId="68" fillId="3" borderId="16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 wrapText="1"/>
    </xf>
    <xf numFmtId="0" fontId="4" fillId="3" borderId="29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 wrapText="1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57" fillId="3" borderId="15" xfId="0" applyFont="1" applyFill="1" applyBorder="1" applyAlignment="1">
      <alignment horizontal="center" vertical="center"/>
    </xf>
    <xf numFmtId="0" fontId="57" fillId="3" borderId="0" xfId="0" applyFont="1" applyFill="1" applyBorder="1" applyAlignment="1">
      <alignment horizontal="center" vertical="center"/>
    </xf>
    <xf numFmtId="0" fontId="57" fillId="3" borderId="16" xfId="0" applyFont="1" applyFill="1" applyBorder="1" applyAlignment="1">
      <alignment horizontal="center" vertical="center"/>
    </xf>
    <xf numFmtId="9" fontId="3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2" fillId="6" borderId="1" xfId="4" applyFont="1" applyFill="1" applyBorder="1" applyAlignment="1">
      <alignment horizontal="center" vertical="center" wrapText="1"/>
    </xf>
    <xf numFmtId="0" fontId="16" fillId="3" borderId="64" xfId="0" applyFont="1" applyFill="1" applyBorder="1" applyAlignment="1">
      <alignment horizontal="center" wrapText="1"/>
    </xf>
    <xf numFmtId="0" fontId="67" fillId="11" borderId="60" xfId="0" applyFont="1" applyFill="1" applyBorder="1" applyAlignment="1">
      <alignment horizontal="center" vertical="top" wrapText="1"/>
    </xf>
    <xf numFmtId="0" fontId="67" fillId="11" borderId="64" xfId="0" applyFont="1" applyFill="1" applyBorder="1" applyAlignment="1">
      <alignment horizontal="center" vertical="top" wrapText="1"/>
    </xf>
    <xf numFmtId="0" fontId="67" fillId="11" borderId="65" xfId="0" applyFont="1" applyFill="1" applyBorder="1" applyAlignment="1">
      <alignment horizontal="center" vertical="top" wrapText="1"/>
    </xf>
    <xf numFmtId="0" fontId="67" fillId="11" borderId="61" xfId="0" applyFont="1" applyFill="1" applyBorder="1" applyAlignment="1">
      <alignment horizontal="center" vertical="top" wrapText="1"/>
    </xf>
    <xf numFmtId="0" fontId="67" fillId="11" borderId="0" xfId="0" applyFont="1" applyFill="1" applyBorder="1" applyAlignment="1">
      <alignment horizontal="center" vertical="top" wrapText="1"/>
    </xf>
    <xf numFmtId="0" fontId="67" fillId="11" borderId="66" xfId="0" applyFont="1" applyFill="1" applyBorder="1" applyAlignment="1">
      <alignment horizontal="center" vertical="top" wrapText="1"/>
    </xf>
    <xf numFmtId="0" fontId="67" fillId="11" borderId="59" xfId="0" applyFont="1" applyFill="1" applyBorder="1" applyAlignment="1">
      <alignment horizontal="center" vertical="top" wrapText="1"/>
    </xf>
    <xf numFmtId="0" fontId="67" fillId="11" borderId="69" xfId="0" applyFont="1" applyFill="1" applyBorder="1" applyAlignment="1">
      <alignment horizontal="center" vertical="top" wrapText="1"/>
    </xf>
    <xf numFmtId="0" fontId="67" fillId="11" borderId="68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24" xfId="0" applyFont="1" applyFill="1" applyBorder="1" applyAlignment="1" applyProtection="1">
      <alignment horizontal="left" vertical="center" wrapText="1"/>
    </xf>
    <xf numFmtId="0" fontId="30" fillId="11" borderId="61" xfId="0" applyFont="1" applyFill="1" applyBorder="1" applyAlignment="1" applyProtection="1">
      <alignment horizontal="center" vertical="center" wrapText="1"/>
    </xf>
    <xf numFmtId="0" fontId="66" fillId="11" borderId="61" xfId="0" applyFont="1" applyFill="1" applyBorder="1" applyAlignment="1" applyProtection="1">
      <alignment horizontal="center" vertical="center" wrapText="1"/>
    </xf>
    <xf numFmtId="0" fontId="67" fillId="11" borderId="62" xfId="0" applyFont="1" applyFill="1" applyBorder="1" applyAlignment="1">
      <alignment horizontal="center" vertical="top" wrapText="1"/>
    </xf>
    <xf numFmtId="0" fontId="67" fillId="11" borderId="6" xfId="0" applyFont="1" applyFill="1" applyBorder="1" applyAlignment="1">
      <alignment horizontal="center" vertical="top" wrapText="1"/>
    </xf>
    <xf numFmtId="0" fontId="67" fillId="11" borderId="67" xfId="0" applyFont="1" applyFill="1" applyBorder="1" applyAlignment="1">
      <alignment horizontal="center" vertical="top" wrapText="1"/>
    </xf>
    <xf numFmtId="0" fontId="16" fillId="3" borderId="0" xfId="0" applyFont="1" applyFill="1" applyBorder="1" applyAlignment="1">
      <alignment horizontal="center" wrapText="1"/>
    </xf>
    <xf numFmtId="0" fontId="35" fillId="0" borderId="0" xfId="0" applyFont="1" applyAlignment="1" applyProtection="1">
      <alignment horizontal="center"/>
    </xf>
    <xf numFmtId="0" fontId="6" fillId="2" borderId="13" xfId="0" applyFont="1" applyFill="1" applyBorder="1" applyAlignment="1" applyProtection="1">
      <alignment horizontal="center"/>
    </xf>
    <xf numFmtId="0" fontId="17" fillId="2" borderId="0" xfId="0" applyFont="1" applyFill="1" applyBorder="1" applyAlignment="1" applyProtection="1">
      <alignment horizontal="center"/>
    </xf>
    <xf numFmtId="0" fontId="7" fillId="3" borderId="13" xfId="0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17" fillId="2" borderId="0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left" indent="2"/>
    </xf>
    <xf numFmtId="0" fontId="0" fillId="3" borderId="0" xfId="0" applyFill="1" applyBorder="1" applyAlignment="1">
      <alignment horizontal="left" indent="6"/>
    </xf>
    <xf numFmtId="0" fontId="22" fillId="2" borderId="13" xfId="0" applyFont="1" applyFill="1" applyBorder="1" applyAlignment="1">
      <alignment horizontal="center"/>
    </xf>
    <xf numFmtId="0" fontId="24" fillId="3" borderId="0" xfId="0" applyFont="1" applyFill="1" applyBorder="1" applyAlignment="1">
      <alignment horizontal="right" indent="2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25" fillId="2" borderId="21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Border="1" applyAlignment="1">
      <alignment horizontal="right" indent="2"/>
    </xf>
    <xf numFmtId="0" fontId="35" fillId="0" borderId="0" xfId="0" applyFont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41" fillId="0" borderId="0" xfId="0" applyFont="1" applyAlignment="1">
      <alignment horizontal="center" vertical="center"/>
    </xf>
    <xf numFmtId="0" fontId="47" fillId="4" borderId="45" xfId="0" applyFont="1" applyFill="1" applyBorder="1" applyAlignment="1">
      <alignment horizontal="center" vertical="center"/>
    </xf>
    <xf numFmtId="0" fontId="47" fillId="4" borderId="47" xfId="0" applyFont="1" applyFill="1" applyBorder="1" applyAlignment="1">
      <alignment horizontal="center" vertical="center"/>
    </xf>
    <xf numFmtId="0" fontId="47" fillId="4" borderId="51" xfId="0" applyFont="1" applyFill="1" applyBorder="1" applyAlignment="1">
      <alignment horizontal="center" vertical="center"/>
    </xf>
    <xf numFmtId="0" fontId="47" fillId="4" borderId="39" xfId="0" applyFont="1" applyFill="1" applyBorder="1" applyAlignment="1">
      <alignment horizontal="center" vertical="center"/>
    </xf>
    <xf numFmtId="0" fontId="47" fillId="4" borderId="35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4" fillId="4" borderId="43" xfId="0" applyFont="1" applyFill="1" applyBorder="1" applyAlignment="1">
      <alignment horizontal="center" vertical="center"/>
    </xf>
    <xf numFmtId="0" fontId="44" fillId="4" borderId="4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_Sheet1" xfId="4"/>
    <cellStyle name="Percent" xfId="3" builtinId="5"/>
  </cellStyles>
  <dxfs count="68">
    <dxf>
      <fill>
        <patternFill>
          <bgColor rgb="FFFFCC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CC"/>
        </patternFill>
      </fill>
    </dxf>
    <dxf>
      <fill>
        <patternFill patternType="darkGrid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darkGrid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darkGrid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darkGrid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  <strike/>
        <color theme="0" tint="-0.499984740745262"/>
      </font>
    </dxf>
    <dxf>
      <font>
        <b val="0"/>
        <i/>
        <strike/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C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CCCC"/>
        </patternFill>
      </fill>
    </dxf>
    <dxf>
      <fill>
        <patternFill patternType="darkGrid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darkGrid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darkGrid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darkGrid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  <strike/>
        <color theme="0" tint="-0.499984740745262"/>
      </font>
    </dxf>
    <dxf>
      <font>
        <b val="0"/>
        <i/>
        <strike/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00B050"/>
        </patternFill>
      </fill>
    </dxf>
    <dxf>
      <fill>
        <patternFill patternType="darkGrid"/>
      </fill>
    </dxf>
    <dxf>
      <fill>
        <patternFill patternType="darkGrid"/>
      </fill>
    </dxf>
    <dxf>
      <fill>
        <patternFill patternType="darkGrid"/>
      </fill>
    </dxf>
    <dxf>
      <fill>
        <patternFill patternType="darkGrid"/>
      </fill>
    </dxf>
    <dxf>
      <fill>
        <patternFill patternType="darkGrid"/>
      </fill>
    </dxf>
    <dxf>
      <fill>
        <patternFill patternType="darkGrid"/>
      </fill>
    </dxf>
    <dxf>
      <font>
        <b val="0"/>
        <i val="0"/>
      </font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P42"/>
  <sheetViews>
    <sheetView showGridLines="0" showRowColHeaders="0" zoomScale="90" zoomScaleNormal="90" workbookViewId="0"/>
  </sheetViews>
  <sheetFormatPr defaultColWidth="14.88671875" defaultRowHeight="14.4" x14ac:dyDescent="0.3"/>
  <cols>
    <col min="1" max="1" width="0.88671875" style="329" customWidth="1"/>
    <col min="2" max="2" width="4.5546875" style="329" customWidth="1"/>
    <col min="3" max="3" width="16.109375" style="329" customWidth="1"/>
    <col min="4" max="4" width="17" style="329" customWidth="1"/>
    <col min="5" max="5" width="0.88671875" style="329" customWidth="1"/>
    <col min="6" max="9" width="16.44140625" style="329" customWidth="1"/>
    <col min="10" max="10" width="0.88671875" style="329" customWidth="1"/>
    <col min="11" max="12" width="14.88671875" style="329"/>
    <col min="13" max="13" width="0.88671875" style="329" customWidth="1"/>
    <col min="14" max="15" width="14.88671875" style="329"/>
    <col min="16" max="16" width="0.88671875" style="329" customWidth="1"/>
    <col min="17" max="16384" width="14.88671875" style="329"/>
  </cols>
  <sheetData>
    <row r="1" spans="1:16" ht="28.5" x14ac:dyDescent="0.25">
      <c r="B1" s="372" t="s">
        <v>484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31"/>
    </row>
    <row r="2" spans="1:16" ht="8.25" customHeight="1" thickBot="1" x14ac:dyDescent="0.3">
      <c r="A2" s="328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P2" s="328"/>
    </row>
    <row r="3" spans="1:16" ht="15" thickTop="1" x14ac:dyDescent="0.3">
      <c r="A3" s="328"/>
      <c r="B3" s="373" t="s">
        <v>425</v>
      </c>
      <c r="C3" s="374"/>
      <c r="D3" s="375"/>
      <c r="E3" s="328"/>
      <c r="F3" s="373" t="s">
        <v>462</v>
      </c>
      <c r="G3" s="374"/>
      <c r="H3" s="374"/>
      <c r="I3" s="375"/>
      <c r="J3" s="328"/>
      <c r="K3" s="373" t="s">
        <v>428</v>
      </c>
      <c r="L3" s="375"/>
      <c r="M3" s="328"/>
      <c r="N3" s="373" t="s">
        <v>427</v>
      </c>
      <c r="O3" s="375"/>
      <c r="P3" s="328"/>
    </row>
    <row r="4" spans="1:16" ht="15.6" x14ac:dyDescent="0.3">
      <c r="B4" s="376"/>
      <c r="C4" s="377"/>
      <c r="D4" s="378"/>
      <c r="E4" s="334"/>
      <c r="F4" s="376"/>
      <c r="G4" s="377"/>
      <c r="H4" s="377"/>
      <c r="I4" s="378"/>
      <c r="K4" s="376"/>
      <c r="L4" s="378"/>
      <c r="N4" s="376"/>
      <c r="O4" s="378"/>
    </row>
    <row r="5" spans="1:16" x14ac:dyDescent="0.3">
      <c r="B5" s="382" t="s">
        <v>483</v>
      </c>
      <c r="C5" s="383" t="s">
        <v>495</v>
      </c>
      <c r="D5" s="384"/>
      <c r="E5" s="333"/>
      <c r="F5" s="366" t="s">
        <v>463</v>
      </c>
      <c r="G5" s="367" t="s">
        <v>470</v>
      </c>
      <c r="H5" s="367" t="s">
        <v>472</v>
      </c>
      <c r="I5" s="368" t="s">
        <v>473</v>
      </c>
      <c r="K5" s="385" t="s">
        <v>477</v>
      </c>
      <c r="L5" s="384" t="s">
        <v>478</v>
      </c>
      <c r="N5" s="385" t="s">
        <v>481</v>
      </c>
      <c r="O5" s="384" t="s">
        <v>430</v>
      </c>
    </row>
    <row r="6" spans="1:16" x14ac:dyDescent="0.3">
      <c r="B6" s="382"/>
      <c r="C6" s="383"/>
      <c r="D6" s="384"/>
      <c r="E6" s="333"/>
      <c r="F6" s="352" t="s">
        <v>464</v>
      </c>
      <c r="G6" s="346">
        <v>1</v>
      </c>
      <c r="H6" s="346">
        <v>1</v>
      </c>
      <c r="I6" s="347">
        <v>1</v>
      </c>
      <c r="K6" s="385"/>
      <c r="L6" s="384"/>
      <c r="N6" s="385"/>
      <c r="O6" s="384"/>
    </row>
    <row r="7" spans="1:16" ht="15" x14ac:dyDescent="0.25">
      <c r="B7" s="345">
        <v>1</v>
      </c>
      <c r="C7" s="370" t="s">
        <v>432</v>
      </c>
      <c r="D7" s="371"/>
      <c r="E7" s="333"/>
      <c r="F7" s="352" t="s">
        <v>465</v>
      </c>
      <c r="G7" s="346">
        <v>1</v>
      </c>
      <c r="H7" s="346">
        <v>0.5</v>
      </c>
      <c r="I7" s="347">
        <v>0.5</v>
      </c>
      <c r="K7" s="352" t="s">
        <v>120</v>
      </c>
      <c r="L7" s="347">
        <v>0.05</v>
      </c>
      <c r="N7" s="354">
        <v>0</v>
      </c>
      <c r="O7" s="353" t="s">
        <v>449</v>
      </c>
    </row>
    <row r="8" spans="1:16" ht="15" x14ac:dyDescent="0.25">
      <c r="B8" s="345">
        <v>2</v>
      </c>
      <c r="C8" s="370" t="s">
        <v>433</v>
      </c>
      <c r="D8" s="371"/>
      <c r="E8" s="332"/>
      <c r="F8" s="352" t="s">
        <v>466</v>
      </c>
      <c r="G8" s="346">
        <v>1</v>
      </c>
      <c r="H8" s="346">
        <v>0.25</v>
      </c>
      <c r="I8" s="347">
        <v>0.5</v>
      </c>
      <c r="K8" s="352" t="s">
        <v>265</v>
      </c>
      <c r="L8" s="347">
        <v>0.06</v>
      </c>
      <c r="N8" s="355" t="s">
        <v>491</v>
      </c>
      <c r="O8" s="353" t="s">
        <v>71</v>
      </c>
    </row>
    <row r="9" spans="1:16" x14ac:dyDescent="0.3">
      <c r="B9" s="345">
        <v>3</v>
      </c>
      <c r="C9" s="370" t="s">
        <v>474</v>
      </c>
      <c r="D9" s="371"/>
      <c r="E9" s="335"/>
      <c r="F9" s="352" t="s">
        <v>467</v>
      </c>
      <c r="G9" s="346">
        <v>1</v>
      </c>
      <c r="H9" s="346">
        <v>1</v>
      </c>
      <c r="I9" s="347">
        <v>1</v>
      </c>
      <c r="K9" s="352" t="s">
        <v>266</v>
      </c>
      <c r="L9" s="347">
        <v>7.0000000000000007E-2</v>
      </c>
      <c r="N9" s="355" t="s">
        <v>492</v>
      </c>
      <c r="O9" s="353" t="s">
        <v>70</v>
      </c>
    </row>
    <row r="10" spans="1:16" ht="15" x14ac:dyDescent="0.25">
      <c r="B10" s="345">
        <v>4</v>
      </c>
      <c r="C10" s="370" t="s">
        <v>434</v>
      </c>
      <c r="D10" s="371"/>
      <c r="E10" s="336"/>
      <c r="F10" s="352" t="s">
        <v>468</v>
      </c>
      <c r="G10" s="346">
        <v>1</v>
      </c>
      <c r="H10" s="346">
        <v>0.5</v>
      </c>
      <c r="I10" s="347">
        <v>1</v>
      </c>
      <c r="K10" s="352" t="s">
        <v>121</v>
      </c>
      <c r="L10" s="347">
        <v>0.1</v>
      </c>
      <c r="N10" s="355" t="s">
        <v>493</v>
      </c>
      <c r="O10" s="353" t="s">
        <v>69</v>
      </c>
    </row>
    <row r="11" spans="1:16" ht="15" x14ac:dyDescent="0.25">
      <c r="B11" s="345">
        <v>5</v>
      </c>
      <c r="C11" s="370" t="s">
        <v>435</v>
      </c>
      <c r="D11" s="371"/>
      <c r="E11" s="336"/>
      <c r="F11" s="352" t="s">
        <v>471</v>
      </c>
      <c r="G11" s="346">
        <v>1</v>
      </c>
      <c r="H11" s="346">
        <v>0.5</v>
      </c>
      <c r="I11" s="347">
        <v>1</v>
      </c>
      <c r="K11" s="352" t="s">
        <v>268</v>
      </c>
      <c r="L11" s="347">
        <v>0.11</v>
      </c>
      <c r="N11" s="355" t="s">
        <v>494</v>
      </c>
      <c r="O11" s="353" t="s">
        <v>68</v>
      </c>
    </row>
    <row r="12" spans="1:16" ht="15.75" thickBot="1" x14ac:dyDescent="0.3">
      <c r="B12" s="345">
        <v>6</v>
      </c>
      <c r="C12" s="370" t="s">
        <v>436</v>
      </c>
      <c r="D12" s="371"/>
      <c r="E12" s="336"/>
      <c r="F12" s="352" t="s">
        <v>469</v>
      </c>
      <c r="G12" s="379" t="s">
        <v>496</v>
      </c>
      <c r="H12" s="380"/>
      <c r="I12" s="381"/>
      <c r="K12" s="352" t="s">
        <v>270</v>
      </c>
      <c r="L12" s="347">
        <v>0.12</v>
      </c>
      <c r="N12" s="341"/>
      <c r="O12" s="339"/>
    </row>
    <row r="13" spans="1:16" ht="16.5" thickTop="1" thickBot="1" x14ac:dyDescent="0.3">
      <c r="B13" s="345">
        <v>7</v>
      </c>
      <c r="C13" s="370" t="s">
        <v>437</v>
      </c>
      <c r="D13" s="371"/>
      <c r="E13" s="336"/>
      <c r="F13" s="340"/>
      <c r="G13" s="386"/>
      <c r="H13" s="386"/>
      <c r="I13" s="387"/>
      <c r="K13" s="352" t="s">
        <v>122</v>
      </c>
      <c r="L13" s="347">
        <v>0.15</v>
      </c>
    </row>
    <row r="14" spans="1:16" ht="16.5" customHeight="1" thickTop="1" thickBot="1" x14ac:dyDescent="0.35">
      <c r="B14" s="345">
        <v>8</v>
      </c>
      <c r="C14" s="370" t="s">
        <v>438</v>
      </c>
      <c r="D14" s="371"/>
      <c r="E14" s="336"/>
      <c r="K14" s="352" t="s">
        <v>273</v>
      </c>
      <c r="L14" s="347">
        <v>0.16</v>
      </c>
      <c r="N14" s="373" t="s">
        <v>452</v>
      </c>
      <c r="O14" s="375"/>
    </row>
    <row r="15" spans="1:16" ht="15.75" customHeight="1" thickTop="1" x14ac:dyDescent="0.3">
      <c r="B15" s="345">
        <v>9</v>
      </c>
      <c r="C15" s="370" t="s">
        <v>439</v>
      </c>
      <c r="D15" s="371"/>
      <c r="E15" s="336"/>
      <c r="F15" s="373" t="s">
        <v>426</v>
      </c>
      <c r="G15" s="374"/>
      <c r="H15" s="374"/>
      <c r="I15" s="375"/>
      <c r="K15" s="352" t="s">
        <v>276</v>
      </c>
      <c r="L15" s="347">
        <v>0.17</v>
      </c>
      <c r="N15" s="376"/>
      <c r="O15" s="378"/>
    </row>
    <row r="16" spans="1:16" x14ac:dyDescent="0.3">
      <c r="B16" s="345">
        <v>10</v>
      </c>
      <c r="C16" s="370" t="s">
        <v>482</v>
      </c>
      <c r="D16" s="371"/>
      <c r="E16" s="336"/>
      <c r="F16" s="376"/>
      <c r="G16" s="377"/>
      <c r="H16" s="377"/>
      <c r="I16" s="378"/>
      <c r="K16" s="352" t="s">
        <v>123</v>
      </c>
      <c r="L16" s="347">
        <v>0.25</v>
      </c>
      <c r="N16" s="385" t="s">
        <v>454</v>
      </c>
      <c r="O16" s="384" t="s">
        <v>455</v>
      </c>
    </row>
    <row r="17" spans="1:16" ht="15" thickBot="1" x14ac:dyDescent="0.35">
      <c r="B17" s="345">
        <v>11</v>
      </c>
      <c r="C17" s="370" t="s">
        <v>440</v>
      </c>
      <c r="D17" s="371"/>
      <c r="E17" s="336"/>
      <c r="F17" s="369" t="s">
        <v>429</v>
      </c>
      <c r="G17" s="367" t="s">
        <v>479</v>
      </c>
      <c r="H17" s="367" t="s">
        <v>424</v>
      </c>
      <c r="I17" s="368" t="s">
        <v>502</v>
      </c>
      <c r="K17" s="341"/>
      <c r="L17" s="339"/>
      <c r="N17" s="385"/>
      <c r="O17" s="384"/>
    </row>
    <row r="18" spans="1:16" ht="16.5" thickTop="1" thickBot="1" x14ac:dyDescent="0.3">
      <c r="B18" s="345">
        <v>12</v>
      </c>
      <c r="C18" s="370" t="s">
        <v>441</v>
      </c>
      <c r="D18" s="371"/>
      <c r="E18" s="336"/>
      <c r="F18" s="352" t="s">
        <v>39</v>
      </c>
      <c r="G18" s="346">
        <v>0.1</v>
      </c>
      <c r="H18" s="348">
        <v>500</v>
      </c>
      <c r="I18" s="349">
        <v>0.1</v>
      </c>
      <c r="N18" s="352" t="s">
        <v>453</v>
      </c>
      <c r="O18" s="353" t="s">
        <v>456</v>
      </c>
    </row>
    <row r="19" spans="1:16" ht="15.75" customHeight="1" thickTop="1" x14ac:dyDescent="0.3">
      <c r="B19" s="345">
        <v>13</v>
      </c>
      <c r="C19" s="370" t="s">
        <v>442</v>
      </c>
      <c r="D19" s="371"/>
      <c r="E19" s="336"/>
      <c r="F19" s="352" t="s">
        <v>38</v>
      </c>
      <c r="G19" s="346">
        <v>0.2</v>
      </c>
      <c r="H19" s="350">
        <v>1000</v>
      </c>
      <c r="I19" s="349">
        <v>0.2</v>
      </c>
      <c r="K19" s="373" t="s">
        <v>431</v>
      </c>
      <c r="L19" s="375"/>
      <c r="N19" s="352" t="s">
        <v>490</v>
      </c>
      <c r="O19" s="353" t="s">
        <v>457</v>
      </c>
    </row>
    <row r="20" spans="1:16" x14ac:dyDescent="0.3">
      <c r="B20" s="345">
        <v>14</v>
      </c>
      <c r="C20" s="370" t="s">
        <v>443</v>
      </c>
      <c r="D20" s="371"/>
      <c r="E20" s="333"/>
      <c r="F20" s="352" t="s">
        <v>448</v>
      </c>
      <c r="G20" s="346">
        <v>0.3</v>
      </c>
      <c r="H20" s="350">
        <v>2000</v>
      </c>
      <c r="I20" s="349">
        <v>0.5</v>
      </c>
      <c r="K20" s="376"/>
      <c r="L20" s="378"/>
      <c r="N20" s="352" t="s">
        <v>489</v>
      </c>
      <c r="O20" s="353" t="s">
        <v>458</v>
      </c>
    </row>
    <row r="21" spans="1:16" ht="15" x14ac:dyDescent="0.25">
      <c r="B21" s="345">
        <v>15</v>
      </c>
      <c r="C21" s="370" t="s">
        <v>444</v>
      </c>
      <c r="D21" s="371"/>
      <c r="E21" s="333"/>
      <c r="F21" s="352" t="s">
        <v>36</v>
      </c>
      <c r="G21" s="346">
        <v>0.5</v>
      </c>
      <c r="H21" s="350">
        <v>3000</v>
      </c>
      <c r="I21" s="351" t="s">
        <v>480</v>
      </c>
      <c r="K21" s="369" t="s">
        <v>450</v>
      </c>
      <c r="L21" s="368" t="s">
        <v>451</v>
      </c>
      <c r="N21" s="352" t="s">
        <v>488</v>
      </c>
      <c r="O21" s="353" t="s">
        <v>459</v>
      </c>
    </row>
    <row r="22" spans="1:16" ht="15" x14ac:dyDescent="0.25">
      <c r="B22" s="345">
        <v>16</v>
      </c>
      <c r="C22" s="370" t="s">
        <v>445</v>
      </c>
      <c r="D22" s="371"/>
      <c r="E22" s="328"/>
      <c r="F22" s="352" t="s">
        <v>35</v>
      </c>
      <c r="G22" s="346">
        <v>0.6</v>
      </c>
      <c r="H22" s="350">
        <v>4000</v>
      </c>
      <c r="I22" s="351" t="s">
        <v>480</v>
      </c>
      <c r="K22" s="343" t="s">
        <v>475</v>
      </c>
      <c r="L22" s="344" t="s">
        <v>476</v>
      </c>
      <c r="N22" s="352" t="s">
        <v>487</v>
      </c>
      <c r="O22" s="353" t="s">
        <v>460</v>
      </c>
    </row>
    <row r="23" spans="1:16" ht="15" x14ac:dyDescent="0.25">
      <c r="B23" s="345">
        <v>17</v>
      </c>
      <c r="C23" s="370" t="s">
        <v>446</v>
      </c>
      <c r="D23" s="371"/>
      <c r="E23" s="328"/>
      <c r="F23" s="352" t="s">
        <v>34</v>
      </c>
      <c r="G23" s="346">
        <v>0.7</v>
      </c>
      <c r="H23" s="350">
        <v>5000</v>
      </c>
      <c r="I23" s="351" t="s">
        <v>480</v>
      </c>
      <c r="J23" s="328"/>
      <c r="K23" s="397"/>
      <c r="L23" s="398"/>
      <c r="N23" s="352" t="s">
        <v>486</v>
      </c>
      <c r="O23" s="353" t="s">
        <v>461</v>
      </c>
    </row>
    <row r="24" spans="1:16" ht="15" x14ac:dyDescent="0.25">
      <c r="B24" s="345">
        <v>18</v>
      </c>
      <c r="C24" s="370" t="s">
        <v>447</v>
      </c>
      <c r="D24" s="371"/>
      <c r="E24" s="328"/>
      <c r="F24" s="352" t="s">
        <v>33</v>
      </c>
      <c r="G24" s="346">
        <v>0.8</v>
      </c>
      <c r="H24" s="350">
        <v>6000</v>
      </c>
      <c r="I24" s="351" t="s">
        <v>480</v>
      </c>
      <c r="K24" s="397" t="s">
        <v>485</v>
      </c>
      <c r="L24" s="398"/>
      <c r="N24" s="342"/>
      <c r="O24" s="344"/>
    </row>
    <row r="25" spans="1:16" ht="15.75" thickBot="1" x14ac:dyDescent="0.3">
      <c r="B25" s="337"/>
      <c r="C25" s="338"/>
      <c r="D25" s="339"/>
      <c r="E25" s="328"/>
      <c r="F25" s="341"/>
      <c r="G25" s="338"/>
      <c r="H25" s="338"/>
      <c r="I25" s="339"/>
      <c r="K25" s="341"/>
      <c r="L25" s="339"/>
      <c r="N25" s="341"/>
      <c r="O25" s="339"/>
    </row>
    <row r="26" spans="1:16" ht="7.5" customHeight="1" thickTop="1" thickBot="1" x14ac:dyDescent="0.3">
      <c r="E26" s="328"/>
      <c r="H26" s="328"/>
    </row>
    <row r="27" spans="1:16" ht="15" thickTop="1" x14ac:dyDescent="0.3">
      <c r="B27" s="391" t="s">
        <v>501</v>
      </c>
      <c r="C27" s="392"/>
      <c r="D27" s="392"/>
      <c r="E27" s="392"/>
      <c r="F27" s="392"/>
      <c r="G27" s="392"/>
      <c r="H27" s="392"/>
      <c r="I27" s="392"/>
      <c r="J27" s="392"/>
      <c r="K27" s="392"/>
      <c r="L27" s="392"/>
      <c r="M27" s="392"/>
      <c r="N27" s="392"/>
      <c r="O27" s="393"/>
    </row>
    <row r="28" spans="1:16" ht="6.75" customHeight="1" x14ac:dyDescent="0.3">
      <c r="B28" s="394"/>
      <c r="C28" s="395"/>
      <c r="D28" s="395"/>
      <c r="E28" s="395"/>
      <c r="F28" s="395"/>
      <c r="G28" s="395"/>
      <c r="H28" s="395"/>
      <c r="I28" s="395"/>
      <c r="J28" s="395"/>
      <c r="K28" s="395"/>
      <c r="L28" s="395"/>
      <c r="M28" s="395"/>
      <c r="N28" s="395"/>
      <c r="O28" s="396"/>
    </row>
    <row r="29" spans="1:16" ht="6" customHeight="1" x14ac:dyDescent="0.25">
      <c r="B29" s="356"/>
      <c r="C29" s="357"/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357"/>
      <c r="O29" s="358"/>
    </row>
    <row r="30" spans="1:16" ht="15" x14ac:dyDescent="0.25">
      <c r="A30" s="328"/>
      <c r="B30" s="388" t="s">
        <v>211</v>
      </c>
      <c r="C30" s="389"/>
      <c r="D30" s="389"/>
      <c r="E30" s="359"/>
      <c r="F30" s="389" t="s">
        <v>497</v>
      </c>
      <c r="G30" s="389"/>
      <c r="H30" s="389" t="s">
        <v>498</v>
      </c>
      <c r="I30" s="389"/>
      <c r="J30" s="360"/>
      <c r="K30" s="389" t="s">
        <v>499</v>
      </c>
      <c r="L30" s="389"/>
      <c r="M30" s="360"/>
      <c r="N30" s="389" t="s">
        <v>500</v>
      </c>
      <c r="O30" s="390"/>
      <c r="P30" s="328"/>
    </row>
    <row r="31" spans="1:16" ht="15.75" thickBot="1" x14ac:dyDescent="0.3">
      <c r="A31" s="328"/>
      <c r="B31" s="361"/>
      <c r="C31" s="362"/>
      <c r="D31" s="362"/>
      <c r="E31" s="363"/>
      <c r="F31" s="362"/>
      <c r="G31" s="362"/>
      <c r="H31" s="362"/>
      <c r="I31" s="362"/>
      <c r="J31" s="364"/>
      <c r="K31" s="363"/>
      <c r="L31" s="363"/>
      <c r="M31" s="363"/>
      <c r="N31" s="362"/>
      <c r="O31" s="365"/>
      <c r="P31" s="328"/>
    </row>
    <row r="32" spans="1:16" ht="15.75" thickTop="1" x14ac:dyDescent="0.25">
      <c r="A32" s="328"/>
      <c r="E32" s="328"/>
      <c r="K32" s="328"/>
      <c r="L32" s="330"/>
      <c r="M32" s="328"/>
      <c r="P32" s="328"/>
    </row>
    <row r="33" spans="1:16" ht="15" x14ac:dyDescent="0.25">
      <c r="A33" s="328"/>
      <c r="B33" s="328"/>
      <c r="E33" s="328"/>
      <c r="K33" s="328"/>
      <c r="M33" s="328"/>
      <c r="P33" s="328"/>
    </row>
    <row r="34" spans="1:16" ht="15" x14ac:dyDescent="0.25">
      <c r="A34" s="328"/>
      <c r="E34" s="328"/>
      <c r="M34" s="328"/>
      <c r="P34" s="328"/>
    </row>
    <row r="35" spans="1:16" ht="15" x14ac:dyDescent="0.25">
      <c r="A35" s="328"/>
      <c r="E35" s="328"/>
      <c r="M35" s="328"/>
      <c r="P35" s="328"/>
    </row>
    <row r="36" spans="1:16" ht="15" x14ac:dyDescent="0.25">
      <c r="A36" s="328"/>
      <c r="E36" s="328"/>
      <c r="K36" s="328"/>
      <c r="M36" s="328"/>
      <c r="P36" s="328"/>
    </row>
    <row r="37" spans="1:16" ht="15" x14ac:dyDescent="0.25">
      <c r="A37" s="328"/>
      <c r="E37" s="328"/>
      <c r="M37" s="328"/>
      <c r="P37" s="328"/>
    </row>
    <row r="38" spans="1:16" ht="15" x14ac:dyDescent="0.25">
      <c r="A38" s="328"/>
      <c r="E38" s="328"/>
      <c r="J38" s="328"/>
      <c r="M38" s="328"/>
      <c r="P38" s="328"/>
    </row>
    <row r="39" spans="1:16" ht="15" x14ac:dyDescent="0.25">
      <c r="A39" s="328"/>
      <c r="E39" s="328"/>
      <c r="K39" s="328"/>
      <c r="L39" s="328"/>
      <c r="M39" s="328"/>
      <c r="P39" s="328"/>
    </row>
    <row r="40" spans="1:16" ht="15" x14ac:dyDescent="0.25">
      <c r="A40" s="328"/>
      <c r="E40" s="328"/>
      <c r="M40" s="328"/>
      <c r="P40" s="328"/>
    </row>
    <row r="41" spans="1:16" ht="15" x14ac:dyDescent="0.25">
      <c r="B41" s="328"/>
      <c r="C41" s="328"/>
      <c r="D41" s="328"/>
    </row>
    <row r="42" spans="1:16" ht="15" x14ac:dyDescent="0.25">
      <c r="B42" s="328"/>
      <c r="C42" s="328"/>
      <c r="D42" s="328"/>
    </row>
  </sheetData>
  <sheetProtection password="8A66" sheet="1" objects="1" scenarios="1"/>
  <mergeCells count="44">
    <mergeCell ref="O5:O6"/>
    <mergeCell ref="N16:N17"/>
    <mergeCell ref="O16:O17"/>
    <mergeCell ref="B30:D30"/>
    <mergeCell ref="F30:G30"/>
    <mergeCell ref="H30:I30"/>
    <mergeCell ref="K30:L30"/>
    <mergeCell ref="N30:O30"/>
    <mergeCell ref="B27:O28"/>
    <mergeCell ref="C21:D21"/>
    <mergeCell ref="K19:L20"/>
    <mergeCell ref="C23:D23"/>
    <mergeCell ref="C22:D22"/>
    <mergeCell ref="K23:L23"/>
    <mergeCell ref="C24:D24"/>
    <mergeCell ref="K24:L24"/>
    <mergeCell ref="B1:O1"/>
    <mergeCell ref="B3:D4"/>
    <mergeCell ref="F3:I4"/>
    <mergeCell ref="F15:I16"/>
    <mergeCell ref="K3:L4"/>
    <mergeCell ref="N14:O15"/>
    <mergeCell ref="N3:O4"/>
    <mergeCell ref="G12:I12"/>
    <mergeCell ref="B5:B6"/>
    <mergeCell ref="C7:D7"/>
    <mergeCell ref="C5:D6"/>
    <mergeCell ref="K5:K6"/>
    <mergeCell ref="L5:L6"/>
    <mergeCell ref="G13:I13"/>
    <mergeCell ref="N5:N6"/>
    <mergeCell ref="C15:D15"/>
    <mergeCell ref="C20:D20"/>
    <mergeCell ref="C19:D19"/>
    <mergeCell ref="C18:D18"/>
    <mergeCell ref="C17:D17"/>
    <mergeCell ref="C16:D16"/>
    <mergeCell ref="C9:D9"/>
    <mergeCell ref="C8:D8"/>
    <mergeCell ref="C14:D14"/>
    <mergeCell ref="C13:D13"/>
    <mergeCell ref="C12:D12"/>
    <mergeCell ref="C11:D11"/>
    <mergeCell ref="C10:D10"/>
  </mergeCells>
  <hyperlinks>
    <hyperlink ref="B30:D30" location="'Unusual Sighting Calculator'!E4" display="Unusual Sighting Calculator"/>
    <hyperlink ref="F30:G30" location="'320-330 Calculator'!J11" display="320/330 Calculator"/>
    <hyperlink ref="H30:I30" location="'170-171 Calculator'!J16" display="170/171 Calculator"/>
    <hyperlink ref="K30:L30" location="'Agent Proficiency'!A1" display="Agent Proficiency"/>
    <hyperlink ref="N30:O30" location="'Status Points'!A1" display="Status Points"/>
  </hyperlinks>
  <pageMargins left="0.2" right="0.2" top="0.5" bottom="0.5" header="0.3" footer="0.3"/>
  <pageSetup scale="75" orientation="landscape" r:id="rId1"/>
  <headerFooter>
    <oddFooter>&amp;Lwww.Alamaze.co&amp;RPrepared by: Frost Lord</oddFooter>
  </headerFooter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T108"/>
  <sheetViews>
    <sheetView showGridLines="0" showRowColHeaders="0" zoomScale="90" zoomScaleNormal="90" workbookViewId="0">
      <selection activeCell="J16" sqref="J16"/>
    </sheetView>
  </sheetViews>
  <sheetFormatPr defaultRowHeight="14.4" x14ac:dyDescent="0.3"/>
  <cols>
    <col min="1" max="1" width="4.88671875" customWidth="1"/>
    <col min="3" max="5" width="14" customWidth="1"/>
    <col min="8" max="10" width="14" customWidth="1"/>
    <col min="12" max="12" width="4.88671875" customWidth="1"/>
    <col min="14" max="14" width="19.6640625" style="54" hidden="1" customWidth="1"/>
    <col min="15" max="15" width="18.33203125" style="54" hidden="1" customWidth="1"/>
    <col min="16" max="16" width="18.44140625" style="54" hidden="1" customWidth="1"/>
    <col min="17" max="19" width="18.33203125" style="54" hidden="1" customWidth="1"/>
    <col min="20" max="20" width="17.6640625" hidden="1" customWidth="1"/>
  </cols>
  <sheetData>
    <row r="1" spans="2:11" ht="26.25" x14ac:dyDescent="0.4">
      <c r="B1" s="460" t="s">
        <v>154</v>
      </c>
      <c r="C1" s="460"/>
      <c r="D1" s="460"/>
      <c r="E1" s="460"/>
      <c r="F1" s="460"/>
      <c r="G1" s="460"/>
      <c r="H1" s="460"/>
      <c r="I1" s="460"/>
      <c r="J1" s="460"/>
      <c r="K1" s="460"/>
    </row>
    <row r="2" spans="2:11" ht="6" customHeight="1" thickBot="1" x14ac:dyDescent="0.3"/>
    <row r="3" spans="2:11" ht="6" customHeight="1" thickTop="1" x14ac:dyDescent="0.25">
      <c r="B3" s="13"/>
      <c r="C3" s="461"/>
      <c r="D3" s="461"/>
      <c r="E3" s="461"/>
      <c r="F3" s="461"/>
      <c r="G3" s="461"/>
      <c r="H3" s="461"/>
      <c r="I3" s="461"/>
      <c r="J3" s="461"/>
      <c r="K3" s="14"/>
    </row>
    <row r="4" spans="2:11" ht="15.75" x14ac:dyDescent="0.25">
      <c r="B4" s="15"/>
      <c r="C4" s="462" t="s">
        <v>0</v>
      </c>
      <c r="D4" s="462"/>
      <c r="E4" s="462"/>
      <c r="F4" s="462"/>
      <c r="G4" s="462"/>
      <c r="H4" s="462"/>
      <c r="I4" s="462"/>
      <c r="J4" s="462"/>
      <c r="K4" s="16"/>
    </row>
    <row r="5" spans="2:11" ht="6" customHeight="1" x14ac:dyDescent="0.25">
      <c r="B5" s="15"/>
      <c r="C5" s="17"/>
      <c r="D5" s="17"/>
      <c r="E5" s="17"/>
      <c r="F5" s="17"/>
      <c r="G5" s="17"/>
      <c r="H5" s="17"/>
      <c r="I5" s="17"/>
      <c r="J5" s="17"/>
      <c r="K5" s="16"/>
    </row>
    <row r="6" spans="2:11" ht="15" x14ac:dyDescent="0.25">
      <c r="B6" s="15"/>
      <c r="C6" s="454" t="s">
        <v>93</v>
      </c>
      <c r="D6" s="454"/>
      <c r="E6" s="454"/>
      <c r="F6" s="454"/>
      <c r="G6" s="454"/>
      <c r="H6" s="454"/>
      <c r="I6" s="454"/>
      <c r="J6" s="454"/>
      <c r="K6" s="16"/>
    </row>
    <row r="7" spans="2:11" ht="15" x14ac:dyDescent="0.25">
      <c r="B7" s="15"/>
      <c r="C7" s="17"/>
      <c r="D7" s="453" t="s">
        <v>94</v>
      </c>
      <c r="E7" s="453"/>
      <c r="F7" s="453"/>
      <c r="G7" s="453"/>
      <c r="H7" s="453"/>
      <c r="I7" s="453"/>
      <c r="J7" s="17"/>
      <c r="K7" s="16"/>
    </row>
    <row r="8" spans="2:11" ht="15" x14ac:dyDescent="0.25">
      <c r="B8" s="15"/>
      <c r="C8" s="17"/>
      <c r="D8" s="453" t="s">
        <v>95</v>
      </c>
      <c r="E8" s="453"/>
      <c r="F8" s="453"/>
      <c r="G8" s="453"/>
      <c r="H8" s="453"/>
      <c r="I8" s="453"/>
      <c r="J8" s="17"/>
      <c r="K8" s="16"/>
    </row>
    <row r="9" spans="2:11" ht="15" x14ac:dyDescent="0.25">
      <c r="B9" s="15"/>
      <c r="C9" s="17"/>
      <c r="D9" s="453" t="s">
        <v>96</v>
      </c>
      <c r="E9" s="453"/>
      <c r="F9" s="453"/>
      <c r="G9" s="453"/>
      <c r="H9" s="453"/>
      <c r="I9" s="453"/>
      <c r="J9" s="17"/>
      <c r="K9" s="16"/>
    </row>
    <row r="10" spans="2:11" ht="6" customHeight="1" x14ac:dyDescent="0.25">
      <c r="B10" s="15"/>
      <c r="C10" s="17"/>
      <c r="D10" s="17"/>
      <c r="E10" s="17"/>
      <c r="F10" s="17"/>
      <c r="G10" s="17"/>
      <c r="H10" s="17"/>
      <c r="I10" s="17"/>
      <c r="J10" s="17"/>
      <c r="K10" s="16"/>
    </row>
    <row r="11" spans="2:11" ht="15" x14ac:dyDescent="0.25">
      <c r="B11" s="15"/>
      <c r="C11" s="454" t="s">
        <v>97</v>
      </c>
      <c r="D11" s="454"/>
      <c r="E11" s="454"/>
      <c r="F11" s="454"/>
      <c r="G11" s="454"/>
      <c r="H11" s="454"/>
      <c r="I11" s="454"/>
      <c r="J11" s="454"/>
      <c r="K11" s="16"/>
    </row>
    <row r="12" spans="2:11" ht="6" customHeight="1" thickBot="1" x14ac:dyDescent="0.3">
      <c r="B12" s="18"/>
      <c r="C12" s="19"/>
      <c r="D12" s="19"/>
      <c r="E12" s="19"/>
      <c r="F12" s="19"/>
      <c r="G12" s="19"/>
      <c r="H12" s="19"/>
      <c r="I12" s="19"/>
      <c r="J12" s="19"/>
      <c r="K12" s="20"/>
    </row>
    <row r="13" spans="2:11" ht="6" customHeight="1" thickTop="1" thickBot="1" x14ac:dyDescent="0.3"/>
    <row r="14" spans="2:11" ht="19.5" thickTop="1" x14ac:dyDescent="0.3">
      <c r="B14" s="21"/>
      <c r="C14" s="22"/>
      <c r="D14" s="22"/>
      <c r="E14" s="455" t="s">
        <v>98</v>
      </c>
      <c r="F14" s="455"/>
      <c r="G14" s="455"/>
      <c r="H14" s="455"/>
      <c r="I14" s="22"/>
      <c r="J14" s="22"/>
      <c r="K14" s="23"/>
    </row>
    <row r="15" spans="2:11" ht="6" customHeight="1" thickBot="1" x14ac:dyDescent="0.3">
      <c r="B15" s="15"/>
      <c r="C15" s="24"/>
      <c r="D15" s="24"/>
      <c r="E15" s="17"/>
      <c r="F15" s="17"/>
      <c r="G15" s="17"/>
      <c r="H15" s="17"/>
      <c r="I15" s="17"/>
      <c r="J15" s="17"/>
      <c r="K15" s="16"/>
    </row>
    <row r="16" spans="2:11" ht="15.75" thickBot="1" x14ac:dyDescent="0.3">
      <c r="B16" s="25" t="str">
        <f>IF(J16="","*** ","")</f>
        <v xml:space="preserve">*** </v>
      </c>
      <c r="C16" s="26" t="s">
        <v>208</v>
      </c>
      <c r="D16" s="27"/>
      <c r="E16" s="27"/>
      <c r="F16" s="281" t="str">
        <f>IF($J$16="","",VLOOKUP($J$16,$N$92:$Q$106,4))</f>
        <v/>
      </c>
      <c r="G16" s="27"/>
      <c r="H16" s="27"/>
      <c r="I16" s="27"/>
      <c r="J16" s="28"/>
      <c r="K16" s="16"/>
    </row>
    <row r="17" spans="2:11" ht="6" customHeight="1" thickBot="1" x14ac:dyDescent="0.3">
      <c r="B17" s="15"/>
      <c r="C17" s="29"/>
      <c r="D17" s="17"/>
      <c r="E17" s="17"/>
      <c r="F17" s="17"/>
      <c r="G17" s="17"/>
      <c r="H17" s="17"/>
      <c r="I17" s="17"/>
      <c r="J17" s="30"/>
      <c r="K17" s="16"/>
    </row>
    <row r="18" spans="2:11" ht="15.75" thickBot="1" x14ac:dyDescent="0.3">
      <c r="B18" s="25" t="str">
        <f>IF(J18="","*** ","")</f>
        <v xml:space="preserve">*** </v>
      </c>
      <c r="C18" s="26" t="s">
        <v>99</v>
      </c>
      <c r="D18" s="27"/>
      <c r="E18" s="27"/>
      <c r="F18" s="27"/>
      <c r="G18" s="27"/>
      <c r="H18" s="27"/>
      <c r="I18" s="27"/>
      <c r="J18" s="28"/>
      <c r="K18" s="16"/>
    </row>
    <row r="19" spans="2:11" ht="6" customHeight="1" thickBot="1" x14ac:dyDescent="0.3">
      <c r="B19" s="15"/>
      <c r="C19" s="29"/>
      <c r="D19" s="17"/>
      <c r="E19" s="17"/>
      <c r="F19" s="17"/>
      <c r="G19" s="17"/>
      <c r="H19" s="17"/>
      <c r="I19" s="17"/>
      <c r="J19" s="30"/>
      <c r="K19" s="16"/>
    </row>
    <row r="20" spans="2:11" ht="15.75" thickBot="1" x14ac:dyDescent="0.3">
      <c r="B20" s="25" t="str">
        <f>IF(J20="","*** ","")</f>
        <v xml:space="preserve">*** </v>
      </c>
      <c r="C20" s="26" t="s">
        <v>100</v>
      </c>
      <c r="D20" s="27"/>
      <c r="E20" s="27"/>
      <c r="F20" s="27"/>
      <c r="G20" s="27"/>
      <c r="H20" s="27"/>
      <c r="I20" s="27"/>
      <c r="J20" s="1"/>
      <c r="K20" s="16"/>
    </row>
    <row r="21" spans="2:11" ht="6" customHeight="1" thickBot="1" x14ac:dyDescent="0.3">
      <c r="B21" s="15"/>
      <c r="C21" s="29"/>
      <c r="D21" s="17"/>
      <c r="E21" s="17"/>
      <c r="F21" s="17"/>
      <c r="G21" s="17"/>
      <c r="H21" s="17"/>
      <c r="I21" s="17"/>
      <c r="J21" s="30"/>
      <c r="K21" s="16"/>
    </row>
    <row r="22" spans="2:11" ht="15.75" thickBot="1" x14ac:dyDescent="0.3">
      <c r="B22" s="25" t="str">
        <f>IF(J22="","*** ","")</f>
        <v xml:space="preserve">*** </v>
      </c>
      <c r="C22" s="26" t="s">
        <v>14</v>
      </c>
      <c r="D22" s="27"/>
      <c r="E22" s="27"/>
      <c r="F22" s="27"/>
      <c r="G22" s="27"/>
      <c r="H22" s="27"/>
      <c r="I22" s="27"/>
      <c r="J22" s="1"/>
      <c r="K22" s="16"/>
    </row>
    <row r="23" spans="2:11" ht="6" customHeight="1" thickBot="1" x14ac:dyDescent="0.3">
      <c r="B23" s="18"/>
      <c r="C23" s="31"/>
      <c r="D23" s="32"/>
      <c r="E23" s="19"/>
      <c r="F23" s="19"/>
      <c r="G23" s="19"/>
      <c r="H23" s="19"/>
      <c r="I23" s="19"/>
      <c r="J23" s="33"/>
      <c r="K23" s="20"/>
    </row>
    <row r="24" spans="2:11" ht="6" customHeight="1" thickTop="1" thickBot="1" x14ac:dyDescent="0.3"/>
    <row r="25" spans="2:11" ht="19.5" thickTop="1" x14ac:dyDescent="0.3">
      <c r="B25" s="21"/>
      <c r="C25" s="22"/>
      <c r="D25" s="22"/>
      <c r="E25" s="455" t="s">
        <v>101</v>
      </c>
      <c r="F25" s="455"/>
      <c r="G25" s="455"/>
      <c r="H25" s="455"/>
      <c r="I25" s="22"/>
      <c r="J25" s="22"/>
      <c r="K25" s="34"/>
    </row>
    <row r="26" spans="2:11" ht="6" customHeight="1" thickBot="1" x14ac:dyDescent="0.3">
      <c r="B26" s="15"/>
      <c r="C26" s="35"/>
      <c r="D26" s="36"/>
      <c r="E26" s="17"/>
      <c r="F26" s="17"/>
      <c r="G26" s="17"/>
      <c r="H26" s="17"/>
      <c r="I26" s="17"/>
      <c r="J26" s="30"/>
      <c r="K26" s="16"/>
    </row>
    <row r="27" spans="2:11" ht="15.75" thickBot="1" x14ac:dyDescent="0.3">
      <c r="B27" s="25" t="str">
        <f>IF(J27="","*** ","")</f>
        <v xml:space="preserve">*** </v>
      </c>
      <c r="C27" s="26" t="s">
        <v>102</v>
      </c>
      <c r="D27" s="27"/>
      <c r="E27" s="27"/>
      <c r="F27" s="27"/>
      <c r="G27" s="27"/>
      <c r="H27" s="27"/>
      <c r="I27" s="27"/>
      <c r="J27" s="28"/>
      <c r="K27" s="16"/>
    </row>
    <row r="28" spans="2:11" ht="6" customHeight="1" thickBot="1" x14ac:dyDescent="0.3">
      <c r="B28" s="15"/>
      <c r="C28" s="29"/>
      <c r="D28" s="17"/>
      <c r="E28" s="17"/>
      <c r="F28" s="17"/>
      <c r="G28" s="17"/>
      <c r="H28" s="17"/>
      <c r="I28" s="17"/>
      <c r="J28" s="30"/>
      <c r="K28" s="16"/>
    </row>
    <row r="29" spans="2:11" ht="15.75" thickBot="1" x14ac:dyDescent="0.3">
      <c r="B29" s="25" t="str">
        <f>IF(J29="","*** ","")</f>
        <v xml:space="preserve">*** </v>
      </c>
      <c r="C29" s="26" t="s">
        <v>13</v>
      </c>
      <c r="D29" s="27"/>
      <c r="E29" s="27"/>
      <c r="F29" s="27"/>
      <c r="G29" s="27"/>
      <c r="H29" s="27"/>
      <c r="I29" s="27"/>
      <c r="J29" s="1"/>
      <c r="K29" s="16"/>
    </row>
    <row r="30" spans="2:11" ht="6" customHeight="1" thickBot="1" x14ac:dyDescent="0.3">
      <c r="B30" s="15"/>
      <c r="C30" s="29"/>
      <c r="D30" s="17"/>
      <c r="E30" s="17"/>
      <c r="F30" s="17"/>
      <c r="G30" s="17"/>
      <c r="H30" s="17"/>
      <c r="I30" s="17"/>
      <c r="J30" s="30"/>
      <c r="K30" s="16"/>
    </row>
    <row r="31" spans="2:11" ht="15.75" thickBot="1" x14ac:dyDescent="0.3">
      <c r="B31" s="25" t="str">
        <f>IF(C31="Does the PC owner have Control of the region?","",IF(J31="","*** ",""))</f>
        <v xml:space="preserve">*** </v>
      </c>
      <c r="C31" s="26" t="str">
        <f>IF(J29="Neutral","Does the PC owner have Control of the region?","Does the PC owner have Control of the region ?")</f>
        <v>Does the PC owner have Control of the region ?</v>
      </c>
      <c r="D31" s="27"/>
      <c r="E31" s="27"/>
      <c r="F31" s="27"/>
      <c r="G31" s="27"/>
      <c r="H31" s="27"/>
      <c r="I31" s="27"/>
      <c r="J31" s="1"/>
      <c r="K31" s="16"/>
    </row>
    <row r="32" spans="2:11" ht="6" customHeight="1" thickBot="1" x14ac:dyDescent="0.3">
      <c r="B32" s="15"/>
      <c r="C32" s="29"/>
      <c r="D32" s="17"/>
      <c r="E32" s="17"/>
      <c r="F32" s="17"/>
      <c r="G32" s="17"/>
      <c r="H32" s="17"/>
      <c r="I32" s="17"/>
      <c r="J32" s="30"/>
      <c r="K32" s="16"/>
    </row>
    <row r="33" spans="2:11" ht="15.75" thickBot="1" x14ac:dyDescent="0.3">
      <c r="B33" s="25" t="str">
        <f>IF(C33="Has the PC owner declared you as an Enemy or is your Natural Enemy?","",IF(J33="","*** ",""))</f>
        <v xml:space="preserve">*** </v>
      </c>
      <c r="C33" s="26" t="str">
        <f>IF(J29="Neutral","Has the PC owner declared you as an Enemy or is your Natural Enemy?","Has the PC owner declared you as an Enemy or is your Natural Enemy ?")</f>
        <v>Has the PC owner declared you as an Enemy or is your Natural Enemy ?</v>
      </c>
      <c r="D33" s="27"/>
      <c r="E33" s="27"/>
      <c r="F33" s="27"/>
      <c r="G33" s="27"/>
      <c r="H33" s="27"/>
      <c r="I33" s="27"/>
      <c r="J33" s="37"/>
      <c r="K33" s="16"/>
    </row>
    <row r="34" spans="2:11" ht="6" customHeight="1" thickBot="1" x14ac:dyDescent="0.3">
      <c r="B34" s="15"/>
      <c r="C34" s="29"/>
      <c r="D34" s="17"/>
      <c r="E34" s="17"/>
      <c r="F34" s="17"/>
      <c r="G34" s="17"/>
      <c r="H34" s="17"/>
      <c r="I34" s="17"/>
      <c r="J34" s="30"/>
      <c r="K34" s="16"/>
    </row>
    <row r="35" spans="2:11" ht="15.75" thickBot="1" x14ac:dyDescent="0.3">
      <c r="B35" s="38" t="str">
        <f>IF(I35="","*** ",IF(I35="No","",IF(N89=0,"*** ","")))</f>
        <v xml:space="preserve">*** </v>
      </c>
      <c r="C35" s="29" t="s">
        <v>103</v>
      </c>
      <c r="D35" s="17"/>
      <c r="E35" s="17"/>
      <c r="F35" s="17"/>
      <c r="G35" s="17"/>
      <c r="H35" s="17"/>
      <c r="I35" s="1"/>
      <c r="J35" s="39"/>
      <c r="K35" s="16"/>
    </row>
    <row r="36" spans="2:11" ht="6" customHeight="1" x14ac:dyDescent="0.25">
      <c r="B36" s="15"/>
      <c r="C36" s="40"/>
      <c r="D36" s="17"/>
      <c r="E36" s="17"/>
      <c r="F36" s="17"/>
      <c r="G36" s="17"/>
      <c r="H36" s="17"/>
      <c r="I36" s="17"/>
      <c r="J36" s="30"/>
      <c r="K36" s="16"/>
    </row>
    <row r="37" spans="2:11" ht="15" x14ac:dyDescent="0.25">
      <c r="B37" s="38"/>
      <c r="C37" s="40"/>
      <c r="D37" s="17"/>
      <c r="E37" s="17"/>
      <c r="F37" s="17"/>
      <c r="G37" s="17"/>
      <c r="H37" s="17"/>
      <c r="I37" s="39" t="s">
        <v>127</v>
      </c>
      <c r="J37" s="39" t="s">
        <v>128</v>
      </c>
      <c r="K37" s="16"/>
    </row>
    <row r="38" spans="2:11" ht="15" x14ac:dyDescent="0.25">
      <c r="B38" s="25"/>
      <c r="C38" s="41" t="s">
        <v>26</v>
      </c>
      <c r="D38" s="17"/>
      <c r="E38" s="17"/>
      <c r="F38" s="17"/>
      <c r="G38" s="17"/>
      <c r="H38" s="42" t="s">
        <v>15</v>
      </c>
      <c r="I38" s="2"/>
      <c r="J38" s="9"/>
      <c r="K38" s="16"/>
    </row>
    <row r="39" spans="2:11" ht="15" x14ac:dyDescent="0.25">
      <c r="B39" s="25"/>
      <c r="C39" s="43" t="s">
        <v>124</v>
      </c>
      <c r="D39" s="44"/>
      <c r="E39" s="17"/>
      <c r="F39" s="17"/>
      <c r="G39" s="17"/>
      <c r="H39" s="42" t="s">
        <v>16</v>
      </c>
      <c r="I39" s="2"/>
      <c r="J39" s="9"/>
      <c r="K39" s="16"/>
    </row>
    <row r="40" spans="2:11" ht="15" x14ac:dyDescent="0.25">
      <c r="B40" s="25"/>
      <c r="C40" s="43" t="s">
        <v>125</v>
      </c>
      <c r="D40" s="45"/>
      <c r="E40" s="17"/>
      <c r="F40" s="17"/>
      <c r="G40" s="17"/>
      <c r="H40" s="42" t="s">
        <v>17</v>
      </c>
      <c r="I40" s="2"/>
      <c r="J40" s="9"/>
      <c r="K40" s="16"/>
    </row>
    <row r="41" spans="2:11" ht="15" x14ac:dyDescent="0.25">
      <c r="B41" s="25"/>
      <c r="C41" s="43" t="s">
        <v>126</v>
      </c>
      <c r="D41" s="45"/>
      <c r="E41" s="17"/>
      <c r="F41" s="17"/>
      <c r="G41" s="17"/>
      <c r="H41" s="42" t="s">
        <v>18</v>
      </c>
      <c r="I41" s="2"/>
      <c r="J41" s="9"/>
      <c r="K41" s="16"/>
    </row>
    <row r="42" spans="2:11" ht="15" x14ac:dyDescent="0.25">
      <c r="B42" s="25"/>
      <c r="C42" s="40"/>
      <c r="D42" s="17"/>
      <c r="E42" s="17"/>
      <c r="F42" s="17"/>
      <c r="G42" s="17"/>
      <c r="H42" s="42" t="s">
        <v>19</v>
      </c>
      <c r="I42" s="2"/>
      <c r="J42" s="9"/>
      <c r="K42" s="16"/>
    </row>
    <row r="43" spans="2:11" ht="6" customHeight="1" thickBot="1" x14ac:dyDescent="0.3">
      <c r="B43" s="18"/>
      <c r="C43" s="46"/>
      <c r="D43" s="46"/>
      <c r="E43" s="19"/>
      <c r="F43" s="19"/>
      <c r="G43" s="19"/>
      <c r="H43" s="19"/>
      <c r="I43" s="19"/>
      <c r="J43" s="19"/>
      <c r="K43" s="20"/>
    </row>
    <row r="44" spans="2:11" ht="6" customHeight="1" thickTop="1" thickBot="1" x14ac:dyDescent="0.3"/>
    <row r="45" spans="2:11" ht="6" customHeight="1" thickTop="1" thickBot="1" x14ac:dyDescent="0.3">
      <c r="B45" s="13"/>
      <c r="C45" s="47"/>
      <c r="D45" s="48"/>
      <c r="E45" s="48"/>
      <c r="F45" s="48"/>
      <c r="G45" s="48"/>
      <c r="H45" s="48"/>
      <c r="I45" s="48"/>
      <c r="J45" s="49"/>
      <c r="K45" s="14"/>
    </row>
    <row r="46" spans="2:11" x14ac:dyDescent="0.3">
      <c r="B46" s="15"/>
      <c r="C46" s="17"/>
      <c r="D46" s="17"/>
      <c r="E46" s="17"/>
      <c r="F46" s="17"/>
      <c r="G46" s="17"/>
      <c r="H46" s="456" t="s">
        <v>104</v>
      </c>
      <c r="I46" s="456"/>
      <c r="J46" s="457"/>
      <c r="K46" s="16"/>
    </row>
    <row r="47" spans="2:11" ht="15" thickBot="1" x14ac:dyDescent="0.35">
      <c r="B47" s="15"/>
      <c r="C47" s="17"/>
      <c r="D47" s="50" t="str">
        <f>IF(O57&gt;0,"",IF(P60=1,"","Warning : Order 170 will Fail without a General or higher"))</f>
        <v/>
      </c>
      <c r="E47" s="17"/>
      <c r="F47" s="17"/>
      <c r="G47" s="17"/>
      <c r="H47" s="459" t="s">
        <v>105</v>
      </c>
      <c r="I47" s="459"/>
      <c r="J47" s="458"/>
      <c r="K47" s="16"/>
    </row>
    <row r="48" spans="2:11" ht="6" customHeight="1" thickBot="1" x14ac:dyDescent="0.3">
      <c r="B48" s="18"/>
      <c r="C48" s="46"/>
      <c r="D48" s="46"/>
      <c r="E48" s="19"/>
      <c r="F48" s="19"/>
      <c r="G48" s="19"/>
      <c r="H48" s="19"/>
      <c r="I48" s="19"/>
      <c r="J48" s="19"/>
      <c r="K48" s="20"/>
    </row>
    <row r="49" spans="2:20" ht="6" customHeight="1" thickTop="1" thickBot="1" x14ac:dyDescent="0.3"/>
    <row r="50" spans="2:20" ht="6" customHeight="1" thickTop="1" x14ac:dyDescent="0.25">
      <c r="B50" s="13"/>
      <c r="C50" s="48"/>
      <c r="D50" s="48"/>
      <c r="E50" s="48"/>
      <c r="F50" s="51"/>
      <c r="G50" s="52"/>
      <c r="H50" s="48"/>
      <c r="I50" s="48"/>
      <c r="J50" s="48"/>
      <c r="K50" s="14"/>
    </row>
    <row r="51" spans="2:20" ht="15.75" x14ac:dyDescent="0.25">
      <c r="B51" s="15"/>
      <c r="C51" s="451" t="s">
        <v>106</v>
      </c>
      <c r="D51" s="451"/>
      <c r="E51" s="451"/>
      <c r="F51" s="53"/>
      <c r="G51" s="17"/>
      <c r="H51" s="452" t="s">
        <v>107</v>
      </c>
      <c r="I51" s="452"/>
      <c r="J51" s="452"/>
      <c r="K51" s="16"/>
    </row>
    <row r="52" spans="2:20" ht="6" customHeight="1" x14ac:dyDescent="0.25">
      <c r="B52" s="15"/>
      <c r="C52" s="24"/>
      <c r="D52" s="24"/>
      <c r="E52" s="17"/>
      <c r="F52" s="53"/>
      <c r="G52" s="17"/>
      <c r="H52" s="17"/>
      <c r="I52" s="17"/>
      <c r="J52" s="17"/>
      <c r="K52" s="16"/>
    </row>
    <row r="53" spans="2:20" ht="20.100000000000001" customHeight="1" x14ac:dyDescent="0.25">
      <c r="B53" s="15"/>
      <c r="C53" s="55" t="s">
        <v>1</v>
      </c>
      <c r="D53" s="56" t="s">
        <v>11</v>
      </c>
      <c r="E53" s="55" t="s">
        <v>2</v>
      </c>
      <c r="F53" s="53"/>
      <c r="G53" s="17"/>
      <c r="H53" s="55" t="s">
        <v>1</v>
      </c>
      <c r="I53" s="56" t="s">
        <v>11</v>
      </c>
      <c r="J53" s="55" t="s">
        <v>2</v>
      </c>
      <c r="K53" s="16"/>
    </row>
    <row r="54" spans="2:20" ht="20.25" customHeight="1" x14ac:dyDescent="0.25">
      <c r="B54" s="15"/>
      <c r="C54" s="57" t="str">
        <f>IF($O$57&gt;0,"",IF($D$47&lt;&gt;"","Fail",IF(O$70&gt;1.09,"Success",IF(O$70&gt;0.99,"Maybe","Fail"))))</f>
        <v/>
      </c>
      <c r="D54" s="57" t="str">
        <f>IF($O$57&gt;0,"",IF($D$47&lt;&gt;"","Fail",IF(P$70&gt;1.09,"Success",IF(P$70&gt;0.99,"Maybe","Fail"))))</f>
        <v/>
      </c>
      <c r="E54" s="57" t="str">
        <f>IF($O$57&gt;0,"",IF($D$47&lt;&gt;"","Fail",IF(Q$70&gt;1.09,"Success",IF(Q$70&gt;0.99,"Maybe","Fail"))))</f>
        <v/>
      </c>
      <c r="F54" s="53"/>
      <c r="G54" s="17"/>
      <c r="H54" s="57" t="str">
        <f>IF($O$57&gt;0,"",IF($J$46="","",IF(O$71&gt;1.09,"Success",IF(O$71&gt;0.99,"Maybe","Fail"))))</f>
        <v/>
      </c>
      <c r="I54" s="57" t="str">
        <f>IF($O$57&gt;0,"",IF($J$46="","",IF(P$71&gt;1.09,"Success",IF(P$71&gt;0.99,"Maybe","Fail"))))</f>
        <v/>
      </c>
      <c r="J54" s="57" t="str">
        <f>IF($O$57&gt;0,"",IF($J$46="","",IF(Q$71&gt;1.09,"Success",IF(Q$71&gt;0.99,"Maybe","Fail"))))</f>
        <v/>
      </c>
      <c r="K54" s="16"/>
    </row>
    <row r="55" spans="2:20" ht="6" customHeight="1" thickBot="1" x14ac:dyDescent="0.3">
      <c r="B55" s="18"/>
      <c r="C55" s="19"/>
      <c r="D55" s="19"/>
      <c r="E55" s="19"/>
      <c r="F55" s="58"/>
      <c r="G55" s="19"/>
      <c r="H55" s="19"/>
      <c r="I55" s="19"/>
      <c r="J55" s="19"/>
      <c r="K55" s="20"/>
    </row>
    <row r="56" spans="2:20" ht="19.5" thickTop="1" x14ac:dyDescent="0.3">
      <c r="N56" s="123"/>
      <c r="O56" s="123"/>
      <c r="P56" s="123"/>
      <c r="Q56" s="140" t="s">
        <v>129</v>
      </c>
      <c r="R56" s="123"/>
      <c r="S56" s="123"/>
      <c r="T56" s="280"/>
    </row>
    <row r="57" spans="2:20" x14ac:dyDescent="0.3">
      <c r="N57" s="124" t="s">
        <v>89</v>
      </c>
      <c r="O57" s="125">
        <f>COUNTIF(B16:B42,"*** ")</f>
        <v>9</v>
      </c>
      <c r="P57" s="123"/>
      <c r="Q57" s="123"/>
      <c r="R57" s="123"/>
      <c r="S57" s="123"/>
      <c r="T57" s="280"/>
    </row>
    <row r="58" spans="2:20" x14ac:dyDescent="0.3">
      <c r="N58" s="123"/>
      <c r="O58" s="123"/>
      <c r="P58" s="123"/>
      <c r="Q58" s="123"/>
      <c r="R58" s="123"/>
      <c r="S58" s="123"/>
      <c r="T58" s="280"/>
    </row>
    <row r="59" spans="2:20" x14ac:dyDescent="0.3">
      <c r="N59" s="126" t="s">
        <v>108</v>
      </c>
      <c r="O59" s="126" t="s">
        <v>29</v>
      </c>
      <c r="P59" s="127" t="s">
        <v>109</v>
      </c>
      <c r="Q59" s="126" t="s">
        <v>110</v>
      </c>
      <c r="R59" s="127" t="s">
        <v>209</v>
      </c>
      <c r="S59" s="126" t="s">
        <v>210</v>
      </c>
      <c r="T59" s="280"/>
    </row>
    <row r="60" spans="2:20" x14ac:dyDescent="0.3">
      <c r="N60" s="123">
        <f>IF(J20="",0,IF(J20="Warlord",1.25,1))</f>
        <v>0</v>
      </c>
      <c r="O60" s="123">
        <f>IF(J22="",0,IF(J22="Friendly",1.5,IF(J22="Tolerant",2.5,IF(J22="Suspicious",3.5,4.5))))</f>
        <v>0</v>
      </c>
      <c r="P60" s="128">
        <f>IF(J20="",0,IF(J20="Warlord",1,IF(J20="Marshal",1,IF(J20="General",1,0.75))))</f>
        <v>0</v>
      </c>
      <c r="Q60" s="123">
        <f>IF($J$46="",0,1+(J46*0.3))</f>
        <v>0</v>
      </c>
      <c r="R60" s="128">
        <f>IF($J$16="",0,VLOOKUP($J$16,$N$92:$P$106,2))</f>
        <v>0</v>
      </c>
      <c r="S60" s="123">
        <f>IF($J$16="",0,VLOOKUP($J$16,$N$92:$P$106,3))</f>
        <v>0</v>
      </c>
      <c r="T60" s="280"/>
    </row>
    <row r="61" spans="2:20" x14ac:dyDescent="0.3">
      <c r="N61" s="123"/>
      <c r="O61" s="123"/>
      <c r="P61" s="129"/>
      <c r="Q61" s="123"/>
      <c r="R61" s="123"/>
      <c r="S61" s="123"/>
      <c r="T61" s="280"/>
    </row>
    <row r="62" spans="2:20" x14ac:dyDescent="0.3">
      <c r="N62" s="124" t="s">
        <v>111</v>
      </c>
      <c r="O62" s="130">
        <f>IF(O60=0,0,IF(N60=0,0,(J18/O60)*N60))</f>
        <v>0</v>
      </c>
      <c r="P62" s="124" t="s">
        <v>112</v>
      </c>
      <c r="Q62" s="130">
        <f>O62*P60*Q60</f>
        <v>0</v>
      </c>
      <c r="R62" s="123"/>
      <c r="S62" s="123"/>
      <c r="T62" s="280"/>
    </row>
    <row r="63" spans="2:20" x14ac:dyDescent="0.3">
      <c r="N63" s="123"/>
      <c r="O63" s="123"/>
      <c r="P63" s="123"/>
      <c r="Q63" s="123"/>
      <c r="R63" s="123"/>
      <c r="S63" s="123"/>
      <c r="T63" s="280"/>
    </row>
    <row r="64" spans="2:20" x14ac:dyDescent="0.3">
      <c r="N64" s="126" t="s">
        <v>30</v>
      </c>
      <c r="O64" s="126" t="s">
        <v>113</v>
      </c>
      <c r="P64" s="126" t="s">
        <v>114</v>
      </c>
      <c r="Q64" s="126" t="s">
        <v>31</v>
      </c>
      <c r="R64" s="123"/>
      <c r="S64" s="123"/>
      <c r="T64" s="280"/>
    </row>
    <row r="65" spans="14:20" x14ac:dyDescent="0.3">
      <c r="N65" s="123">
        <f>IF(J29="",0,IF(J29="Neutral",1,2))</f>
        <v>0</v>
      </c>
      <c r="O65" s="123">
        <f>IF(J29="",0,IF(J29="Neutral",1,IF(J31="No",1,1.25)))</f>
        <v>0</v>
      </c>
      <c r="P65" s="123">
        <f>IF(J29="",0,IF(J29="Neutral",1,IF(J33="Natural Enemy",1.5,IF(J33="Declared Enemy",1.25,1))))</f>
        <v>0</v>
      </c>
      <c r="Q65" s="131">
        <f>IF(I35="",0,IF(I35="No",1,1+P89))</f>
        <v>0</v>
      </c>
      <c r="R65" s="123"/>
      <c r="S65" s="123"/>
      <c r="T65" s="280"/>
    </row>
    <row r="66" spans="14:20" x14ac:dyDescent="0.3">
      <c r="N66" s="123"/>
      <c r="O66" s="123"/>
      <c r="P66" s="123"/>
      <c r="Q66" s="123"/>
      <c r="R66" s="123"/>
      <c r="S66" s="123"/>
      <c r="T66" s="280"/>
    </row>
    <row r="67" spans="14:20" x14ac:dyDescent="0.3">
      <c r="N67" s="123"/>
      <c r="O67" s="123">
        <v>1.1499999999999999</v>
      </c>
      <c r="P67" s="123">
        <v>1</v>
      </c>
      <c r="Q67" s="123">
        <v>0.85</v>
      </c>
      <c r="R67" s="123"/>
      <c r="S67" s="123"/>
      <c r="T67" s="280"/>
    </row>
    <row r="68" spans="14:20" x14ac:dyDescent="0.3">
      <c r="N68" s="124" t="s">
        <v>12</v>
      </c>
      <c r="O68" s="132">
        <f>$J$27*$N$65*$O$65*$P$65*$Q$65*O$67</f>
        <v>0</v>
      </c>
      <c r="P68" s="132">
        <f>$J$27*$N$65*$O$65*$P$65*$Q$65*P$67</f>
        <v>0</v>
      </c>
      <c r="Q68" s="132">
        <f>$J$27*$N$65*$O$65*$P$65*$Q$65*Q$67</f>
        <v>0</v>
      </c>
      <c r="R68" s="123"/>
      <c r="S68" s="123"/>
      <c r="T68" s="280"/>
    </row>
    <row r="69" spans="14:20" x14ac:dyDescent="0.3">
      <c r="N69" s="129"/>
      <c r="O69" s="129"/>
      <c r="P69" s="129"/>
      <c r="Q69" s="129"/>
      <c r="R69" s="123"/>
      <c r="S69" s="123"/>
      <c r="T69" s="280"/>
    </row>
    <row r="70" spans="14:20" x14ac:dyDescent="0.3">
      <c r="N70" s="124" t="s">
        <v>115</v>
      </c>
      <c r="O70" s="132">
        <f>IF(O68=0,0,($O$62*$R$60)/O$68)</f>
        <v>0</v>
      </c>
      <c r="P70" s="132">
        <f>IF(P68=0,0,($O$62*$R$60)/P$68)</f>
        <v>0</v>
      </c>
      <c r="Q70" s="132">
        <f>IF(Q68=0,0,($O$62*$R$60)/Q$68)</f>
        <v>0</v>
      </c>
      <c r="R70" s="123"/>
      <c r="S70" s="123"/>
      <c r="T70" s="280"/>
    </row>
    <row r="71" spans="14:20" x14ac:dyDescent="0.3">
      <c r="N71" s="124" t="s">
        <v>116</v>
      </c>
      <c r="O71" s="132">
        <f>IF(O68=0,0,($Q$62*$S$60)/O$68)</f>
        <v>0</v>
      </c>
      <c r="P71" s="132">
        <f>IF(P68=0,0,($Q$62*$S$60)/P$68)</f>
        <v>0</v>
      </c>
      <c r="Q71" s="132">
        <f>IF(Q68=0,0,($Q$62*$S$60)/Q$68)</f>
        <v>0</v>
      </c>
      <c r="R71" s="123"/>
      <c r="S71" s="123"/>
      <c r="T71" s="280"/>
    </row>
    <row r="72" spans="14:20" x14ac:dyDescent="0.3">
      <c r="N72" s="123"/>
      <c r="O72" s="123"/>
      <c r="P72" s="123"/>
      <c r="Q72" s="123"/>
      <c r="R72" s="123"/>
      <c r="S72" s="123"/>
      <c r="T72" s="280"/>
    </row>
    <row r="73" spans="14:20" x14ac:dyDescent="0.3">
      <c r="N73" s="126" t="s">
        <v>117</v>
      </c>
      <c r="O73" s="126" t="s">
        <v>20</v>
      </c>
      <c r="P73" s="126" t="s">
        <v>21</v>
      </c>
      <c r="Q73" s="133" t="s">
        <v>24</v>
      </c>
      <c r="R73" s="126" t="s">
        <v>118</v>
      </c>
      <c r="S73" s="126" t="s">
        <v>22</v>
      </c>
      <c r="T73" s="280"/>
    </row>
    <row r="74" spans="14:20" x14ac:dyDescent="0.3">
      <c r="N74" s="134" t="s">
        <v>119</v>
      </c>
      <c r="O74" s="123" t="s">
        <v>3</v>
      </c>
      <c r="P74" s="123" t="s">
        <v>7</v>
      </c>
      <c r="Q74" s="123" t="str">
        <f>IF(J29="Neutral","n/a","Yes")</f>
        <v>Yes</v>
      </c>
      <c r="R74" s="134" t="str">
        <f>IF(J29="Neutral","n/a","- Not Declared -")</f>
        <v>- Not Declared -</v>
      </c>
      <c r="S74" s="123" t="str">
        <f>IF(I35="","",IF(I35="No","n/a","Prince"))</f>
        <v/>
      </c>
      <c r="T74" s="280"/>
    </row>
    <row r="75" spans="14:20" x14ac:dyDescent="0.3">
      <c r="N75" s="123" t="s">
        <v>120</v>
      </c>
      <c r="O75" s="123" t="s">
        <v>4</v>
      </c>
      <c r="P75" s="123" t="s">
        <v>8</v>
      </c>
      <c r="Q75" s="123" t="str">
        <f>IF(J29="Neutral","n/a","No")</f>
        <v>No</v>
      </c>
      <c r="R75" s="123" t="str">
        <f>IF(J29="Neutral","n/a","Declared Enemy")</f>
        <v>Declared Enemy</v>
      </c>
      <c r="S75" s="123" t="str">
        <f>IF(I35="","",IF(I35="No","n/a","Duke"))</f>
        <v/>
      </c>
      <c r="T75" s="280"/>
    </row>
    <row r="76" spans="14:20" x14ac:dyDescent="0.3">
      <c r="N76" s="123" t="s">
        <v>121</v>
      </c>
      <c r="O76" s="123" t="s">
        <v>5</v>
      </c>
      <c r="P76" s="123"/>
      <c r="Q76" s="123"/>
      <c r="R76" s="123" t="str">
        <f>IF(J29="Neutral","n/a","Natural Enemy")</f>
        <v>Natural Enemy</v>
      </c>
      <c r="S76" s="123" t="str">
        <f>IF(I35="","",IF(I35="No","n/a","Count"))</f>
        <v/>
      </c>
      <c r="T76" s="280"/>
    </row>
    <row r="77" spans="14:20" x14ac:dyDescent="0.3">
      <c r="N77" s="123" t="s">
        <v>122</v>
      </c>
      <c r="O77" s="123" t="s">
        <v>6</v>
      </c>
      <c r="P77" s="123"/>
      <c r="Q77" s="123"/>
      <c r="R77" s="123"/>
      <c r="S77" s="123" t="str">
        <f>IF(I35="","",IF(I35="No","n/a","Baron"))</f>
        <v/>
      </c>
      <c r="T77" s="280"/>
    </row>
    <row r="78" spans="14:20" x14ac:dyDescent="0.3">
      <c r="N78" s="123" t="s">
        <v>123</v>
      </c>
      <c r="O78" s="123"/>
      <c r="P78" s="123"/>
      <c r="Q78" s="123"/>
      <c r="R78" s="123"/>
      <c r="S78" s="123" t="str">
        <f>IF(I35="","",IF(I35="No","n/a","Governor"))</f>
        <v/>
      </c>
      <c r="T78" s="280"/>
    </row>
    <row r="79" spans="14:20" x14ac:dyDescent="0.3">
      <c r="N79" s="123"/>
      <c r="O79" s="123"/>
      <c r="P79" s="123"/>
      <c r="Q79" s="123"/>
      <c r="R79" s="123"/>
      <c r="S79" s="123" t="str">
        <f>IF(I35="","",IF(I35="No","n/a","Ambassador"))</f>
        <v/>
      </c>
      <c r="T79" s="280"/>
    </row>
    <row r="80" spans="14:20" x14ac:dyDescent="0.3">
      <c r="N80" s="123"/>
      <c r="O80" s="123"/>
      <c r="P80" s="123"/>
      <c r="Q80" s="123"/>
      <c r="R80" s="123"/>
      <c r="S80" s="123" t="str">
        <f>IF(I35="","",IF(I35="No","n/a","Envoy"))</f>
        <v/>
      </c>
      <c r="T80" s="280"/>
    </row>
    <row r="81" spans="14:20" x14ac:dyDescent="0.3">
      <c r="N81" s="123"/>
      <c r="O81" s="123"/>
      <c r="P81" s="123"/>
      <c r="Q81" s="123"/>
      <c r="R81" s="123"/>
      <c r="S81" s="123"/>
      <c r="T81" s="280"/>
    </row>
    <row r="82" spans="14:20" x14ac:dyDescent="0.3">
      <c r="N82" s="135" t="s">
        <v>28</v>
      </c>
      <c r="O82" s="135" t="s">
        <v>23</v>
      </c>
      <c r="P82" s="135" t="s">
        <v>27</v>
      </c>
      <c r="Q82" s="133" t="s">
        <v>25</v>
      </c>
      <c r="R82" s="123"/>
      <c r="S82" s="123"/>
      <c r="T82" s="280"/>
    </row>
    <row r="83" spans="14:20" x14ac:dyDescent="0.3">
      <c r="N83" s="136">
        <f>IF(I38="",0,IF(J38="",0,1))</f>
        <v>0</v>
      </c>
      <c r="O83" s="136">
        <f>IF($I38="Prince",0.8,IF($I38="Duke",0.7,IF($I38="Count",0.6,IF($I38="Baron",0.5,IF($I38="Governor",0.3,IF($I38="Ambassador",0.2,IF($I38="Envoy",0.1,0)))))))</f>
        <v>0</v>
      </c>
      <c r="P83" s="137">
        <f>O83*J38*0.1</f>
        <v>0</v>
      </c>
      <c r="Q83" s="123" t="s">
        <v>9</v>
      </c>
      <c r="R83" s="123"/>
      <c r="S83" s="123"/>
      <c r="T83" s="280"/>
    </row>
    <row r="84" spans="14:20" x14ac:dyDescent="0.3">
      <c r="N84" s="136">
        <f>IF(I39="",0,IF(J39="",0,1))</f>
        <v>0</v>
      </c>
      <c r="O84" s="136">
        <f>IF($I39="Prince",0.8,IF($I39="Duke",0.7,IF($I39="Count",0.6,IF($I39="Baron",0.5,IF($I39="Governor",0.3,IF($I39="Ambassador",0.2,IF($I39="Envoy",0.1,0)))))))</f>
        <v>0</v>
      </c>
      <c r="P84" s="137">
        <f>O84*J39*0.1</f>
        <v>0</v>
      </c>
      <c r="Q84" s="123" t="s">
        <v>10</v>
      </c>
      <c r="R84" s="123"/>
      <c r="S84" s="123"/>
      <c r="T84" s="280"/>
    </row>
    <row r="85" spans="14:20" x14ac:dyDescent="0.3">
      <c r="N85" s="136">
        <f>IF(I40="",0,IF(J40="",0,1))</f>
        <v>0</v>
      </c>
      <c r="O85" s="136">
        <f>IF($I40="Prince",0.8,IF($I40="Duke",0.7,IF($I40="Count",0.6,IF($I40="Baron",0.5,IF($I40="Governor",0.3,IF($I40="Ambassador",0.2,IF($I40="Envoy",0.1,0)))))))</f>
        <v>0</v>
      </c>
      <c r="P85" s="137">
        <f>O85*J40*0.1</f>
        <v>0</v>
      </c>
      <c r="Q85" s="123"/>
      <c r="R85" s="123"/>
      <c r="S85" s="123"/>
      <c r="T85" s="280"/>
    </row>
    <row r="86" spans="14:20" x14ac:dyDescent="0.3">
      <c r="N86" s="136">
        <f>IF(I41="",0,IF(J41="",0,1))</f>
        <v>0</v>
      </c>
      <c r="O86" s="136">
        <f>IF($I41="Prince",0.8,IF($I41="Duke",0.7,IF($I41="Count",0.6,IF($I41="Baron",0.5,IF($I41="Governor",0.3,IF($I41="Ambassador",0.2,IF($I41="Envoy",0.1,0)))))))</f>
        <v>0</v>
      </c>
      <c r="P86" s="137">
        <f>O86*J41*0.1</f>
        <v>0</v>
      </c>
      <c r="Q86" s="123"/>
      <c r="R86" s="123"/>
      <c r="S86" s="123"/>
      <c r="T86" s="280"/>
    </row>
    <row r="87" spans="14:20" x14ac:dyDescent="0.3">
      <c r="N87" s="136">
        <f>IF(I42="",0,IF(J42="",0,1))</f>
        <v>0</v>
      </c>
      <c r="O87" s="136">
        <f>IF($I42="Prince",0.8,IF($I42="Duke",0.7,IF($I42="Count",0.6,IF($I42="Baron",0.5,IF($I42="Governor",0.3,IF($I42="Ambassador",0.2,IF($I42="Envoy",0.1,0)))))))</f>
        <v>0</v>
      </c>
      <c r="P87" s="137">
        <f>O87*J42*0.1</f>
        <v>0</v>
      </c>
      <c r="Q87" s="123"/>
      <c r="R87" s="123"/>
      <c r="S87" s="123"/>
      <c r="T87" s="280"/>
    </row>
    <row r="88" spans="14:20" x14ac:dyDescent="0.3">
      <c r="N88" s="136"/>
      <c r="O88" s="136"/>
      <c r="P88" s="136"/>
      <c r="Q88" s="123"/>
      <c r="R88" s="123"/>
      <c r="S88" s="123"/>
      <c r="T88" s="280"/>
    </row>
    <row r="89" spans="14:20" x14ac:dyDescent="0.3">
      <c r="N89" s="138">
        <f>SUM(N83:N87)</f>
        <v>0</v>
      </c>
      <c r="O89" s="139"/>
      <c r="P89" s="122">
        <f>SUM(P83:P87)</f>
        <v>0</v>
      </c>
      <c r="Q89" s="123"/>
      <c r="R89" s="123"/>
      <c r="S89" s="123"/>
      <c r="T89" s="280"/>
    </row>
    <row r="90" spans="14:20" x14ac:dyDescent="0.3">
      <c r="N90" s="123"/>
      <c r="O90" s="123"/>
      <c r="P90" s="123"/>
      <c r="Q90" s="123"/>
      <c r="R90" s="123"/>
      <c r="S90" s="123"/>
      <c r="T90" s="280"/>
    </row>
    <row r="91" spans="14:20" x14ac:dyDescent="0.3">
      <c r="N91" s="126" t="s">
        <v>47</v>
      </c>
      <c r="O91" s="126" t="s">
        <v>206</v>
      </c>
      <c r="P91" s="126" t="s">
        <v>207</v>
      </c>
      <c r="Q91" s="126" t="s">
        <v>339</v>
      </c>
      <c r="R91" s="126"/>
      <c r="S91" s="126"/>
      <c r="T91" s="280"/>
    </row>
    <row r="92" spans="14:20" x14ac:dyDescent="0.3">
      <c r="N92" s="107" t="s">
        <v>48</v>
      </c>
      <c r="O92" s="213">
        <v>1</v>
      </c>
      <c r="P92" s="213">
        <v>1</v>
      </c>
      <c r="Q92" s="278" t="s">
        <v>144</v>
      </c>
      <c r="R92" s="213"/>
      <c r="S92" s="213"/>
      <c r="T92" s="280"/>
    </row>
    <row r="93" spans="14:20" x14ac:dyDescent="0.3">
      <c r="N93" s="103" t="s">
        <v>49</v>
      </c>
      <c r="O93" s="213">
        <v>1</v>
      </c>
      <c r="P93" s="213">
        <v>1</v>
      </c>
      <c r="Q93" s="278" t="s">
        <v>144</v>
      </c>
      <c r="R93" s="213"/>
      <c r="S93" s="213"/>
      <c r="T93" s="280"/>
    </row>
    <row r="94" spans="14:20" x14ac:dyDescent="0.3">
      <c r="N94" s="103" t="s">
        <v>50</v>
      </c>
      <c r="O94" s="213">
        <v>1</v>
      </c>
      <c r="P94" s="213">
        <v>1</v>
      </c>
      <c r="Q94" s="278" t="s">
        <v>144</v>
      </c>
      <c r="R94" s="213"/>
      <c r="S94" s="213"/>
      <c r="T94" s="280"/>
    </row>
    <row r="95" spans="14:20" x14ac:dyDescent="0.3">
      <c r="N95" s="103" t="s">
        <v>51</v>
      </c>
      <c r="O95" s="213">
        <v>1</v>
      </c>
      <c r="P95" s="213">
        <v>1</v>
      </c>
      <c r="Q95" s="278" t="s">
        <v>144</v>
      </c>
      <c r="R95" s="213"/>
      <c r="S95" s="213"/>
      <c r="T95" s="280"/>
    </row>
    <row r="96" spans="14:20" x14ac:dyDescent="0.3">
      <c r="N96" s="103" t="s">
        <v>52</v>
      </c>
      <c r="O96" s="213">
        <v>1</v>
      </c>
      <c r="P96" s="213">
        <v>1</v>
      </c>
      <c r="Q96" s="278" t="s">
        <v>144</v>
      </c>
      <c r="R96" s="213"/>
      <c r="S96" s="213"/>
      <c r="T96" s="280"/>
    </row>
    <row r="97" spans="14:20" x14ac:dyDescent="0.3">
      <c r="N97" s="103" t="s">
        <v>53</v>
      </c>
      <c r="O97" s="213">
        <v>1</v>
      </c>
      <c r="P97" s="213">
        <v>1</v>
      </c>
      <c r="Q97" s="278" t="s">
        <v>144</v>
      </c>
      <c r="R97" s="213"/>
      <c r="S97" s="213"/>
      <c r="T97" s="280"/>
    </row>
    <row r="98" spans="14:20" x14ac:dyDescent="0.3">
      <c r="N98" s="103" t="s">
        <v>54</v>
      </c>
      <c r="O98" s="213">
        <v>1.1000000000000001</v>
      </c>
      <c r="P98" s="213">
        <v>1</v>
      </c>
      <c r="Q98" s="279" t="s">
        <v>343</v>
      </c>
      <c r="R98" s="213"/>
      <c r="S98" s="213"/>
      <c r="T98" s="280"/>
    </row>
    <row r="99" spans="14:20" x14ac:dyDescent="0.3">
      <c r="N99" s="103" t="s">
        <v>55</v>
      </c>
      <c r="O99" s="213">
        <v>1</v>
      </c>
      <c r="P99" s="213">
        <v>1</v>
      </c>
      <c r="Q99" s="278" t="s">
        <v>144</v>
      </c>
      <c r="R99" s="213"/>
      <c r="S99" s="213"/>
      <c r="T99" s="280"/>
    </row>
    <row r="100" spans="14:20" x14ac:dyDescent="0.3">
      <c r="N100" s="103" t="s">
        <v>60</v>
      </c>
      <c r="O100" s="213">
        <v>1</v>
      </c>
      <c r="P100" s="213">
        <v>1</v>
      </c>
      <c r="Q100" s="278" t="s">
        <v>144</v>
      </c>
      <c r="R100" s="213"/>
      <c r="S100" s="213"/>
      <c r="T100" s="280"/>
    </row>
    <row r="101" spans="14:20" x14ac:dyDescent="0.3">
      <c r="N101" s="103" t="s">
        <v>61</v>
      </c>
      <c r="O101" s="213">
        <v>0.8</v>
      </c>
      <c r="P101" s="213">
        <v>0.8</v>
      </c>
      <c r="Q101" s="279" t="s">
        <v>344</v>
      </c>
      <c r="R101" s="213"/>
      <c r="S101" s="213"/>
      <c r="T101" s="280"/>
    </row>
    <row r="102" spans="14:20" x14ac:dyDescent="0.3">
      <c r="N102" s="103" t="s">
        <v>62</v>
      </c>
      <c r="O102" s="213">
        <v>1</v>
      </c>
      <c r="P102" s="213">
        <v>1</v>
      </c>
      <c r="Q102" s="278" t="s">
        <v>144</v>
      </c>
      <c r="R102" s="213"/>
      <c r="S102" s="213"/>
      <c r="T102" s="280"/>
    </row>
    <row r="103" spans="14:20" x14ac:dyDescent="0.3">
      <c r="N103" s="103" t="s">
        <v>56</v>
      </c>
      <c r="O103" s="213">
        <v>1</v>
      </c>
      <c r="P103" s="213">
        <v>1</v>
      </c>
      <c r="Q103" s="278" t="s">
        <v>144</v>
      </c>
      <c r="R103" s="213"/>
      <c r="S103" s="213"/>
      <c r="T103" s="280"/>
    </row>
    <row r="104" spans="14:20" x14ac:dyDescent="0.3">
      <c r="N104" s="103" t="s">
        <v>59</v>
      </c>
      <c r="O104" s="213">
        <v>1</v>
      </c>
      <c r="P104" s="213">
        <v>1</v>
      </c>
      <c r="Q104" s="278" t="s">
        <v>144</v>
      </c>
      <c r="R104" s="213"/>
      <c r="S104" s="213"/>
      <c r="T104" s="280"/>
    </row>
    <row r="105" spans="14:20" x14ac:dyDescent="0.3">
      <c r="N105" s="103" t="s">
        <v>57</v>
      </c>
      <c r="O105" s="213">
        <v>1</v>
      </c>
      <c r="P105" s="213">
        <v>1</v>
      </c>
      <c r="Q105" s="278" t="s">
        <v>144</v>
      </c>
      <c r="R105" s="213"/>
      <c r="S105" s="213"/>
      <c r="T105" s="280"/>
    </row>
    <row r="106" spans="14:20" x14ac:dyDescent="0.3">
      <c r="N106" s="103" t="s">
        <v>58</v>
      </c>
      <c r="O106" s="213">
        <v>1</v>
      </c>
      <c r="P106" s="213">
        <v>1</v>
      </c>
      <c r="Q106" s="278" t="s">
        <v>144</v>
      </c>
      <c r="R106" s="213"/>
      <c r="S106" s="213"/>
      <c r="T106" s="280"/>
    </row>
    <row r="107" spans="14:20" x14ac:dyDescent="0.3">
      <c r="N107" s="213"/>
      <c r="O107" s="213"/>
      <c r="P107" s="213"/>
      <c r="Q107" s="213"/>
      <c r="R107" s="213"/>
      <c r="S107" s="213"/>
      <c r="T107" s="280"/>
    </row>
    <row r="108" spans="14:20" x14ac:dyDescent="0.3">
      <c r="N108" s="213"/>
      <c r="O108" s="213"/>
      <c r="P108" s="213"/>
      <c r="Q108" s="213"/>
      <c r="R108" s="213"/>
      <c r="S108" s="213"/>
      <c r="T108" s="280"/>
    </row>
  </sheetData>
  <sheetProtection password="8D31" sheet="1" objects="1" scenarios="1" selectLockedCells="1"/>
  <mergeCells count="15">
    <mergeCell ref="D8:I8"/>
    <mergeCell ref="B1:K1"/>
    <mergeCell ref="C3:J3"/>
    <mergeCell ref="C4:J4"/>
    <mergeCell ref="C6:J6"/>
    <mergeCell ref="D7:I7"/>
    <mergeCell ref="C51:E51"/>
    <mergeCell ref="H51:J51"/>
    <mergeCell ref="D9:I9"/>
    <mergeCell ref="C11:J11"/>
    <mergeCell ref="E14:H14"/>
    <mergeCell ref="E25:H25"/>
    <mergeCell ref="H46:I46"/>
    <mergeCell ref="J46:J47"/>
    <mergeCell ref="H47:I47"/>
  </mergeCells>
  <conditionalFormatting sqref="H54:J54 C54:E54">
    <cfRule type="cellIs" dxfId="15" priority="19" operator="equal">
      <formula>"Success"</formula>
    </cfRule>
    <cfRule type="cellIs" dxfId="14" priority="20" operator="equal">
      <formula>"Maybe"</formula>
    </cfRule>
    <cfRule type="cellIs" dxfId="13" priority="21" operator="equal">
      <formula>"Fail"</formula>
    </cfRule>
  </conditionalFormatting>
  <conditionalFormatting sqref="C33">
    <cfRule type="cellIs" dxfId="12" priority="18" operator="equal">
      <formula>"Has the PC owner declared you as an Enemy or is your Natural Enemy?"</formula>
    </cfRule>
  </conditionalFormatting>
  <conditionalFormatting sqref="C31">
    <cfRule type="cellIs" dxfId="11" priority="17" operator="equal">
      <formula>"Does the PC owner have Control of the region?"</formula>
    </cfRule>
  </conditionalFormatting>
  <conditionalFormatting sqref="J31">
    <cfRule type="expression" dxfId="10" priority="15" stopIfTrue="1">
      <formula>$J$29="Neutral"</formula>
    </cfRule>
  </conditionalFormatting>
  <conditionalFormatting sqref="J33">
    <cfRule type="expression" dxfId="9" priority="7" stopIfTrue="1">
      <formula>$J$29="Neutral"</formula>
    </cfRule>
  </conditionalFormatting>
  <conditionalFormatting sqref="I38:J42">
    <cfRule type="expression" dxfId="8" priority="1" stopIfTrue="1">
      <formula>$I$35=""</formula>
    </cfRule>
    <cfRule type="expression" dxfId="7" priority="2" stopIfTrue="1">
      <formula>$I$35="No"</formula>
    </cfRule>
    <cfRule type="expression" priority="3" stopIfTrue="1">
      <formula>$I$38&lt;&gt;""</formula>
    </cfRule>
    <cfRule type="expression" priority="4" stopIfTrue="1">
      <formula>$I$39&lt;&gt;""</formula>
    </cfRule>
    <cfRule type="expression" priority="5" stopIfTrue="1">
      <formula>$I$40&lt;&gt;""</formula>
    </cfRule>
    <cfRule type="expression" priority="6" stopIfTrue="1">
      <formula>$I$41&lt;&gt;""</formula>
    </cfRule>
    <cfRule type="expression" priority="13" stopIfTrue="1">
      <formula>$I$42&lt;&gt;""</formula>
    </cfRule>
    <cfRule type="cellIs" dxfId="6" priority="14" operator="equal">
      <formula>""</formula>
    </cfRule>
  </conditionalFormatting>
  <conditionalFormatting sqref="P89">
    <cfRule type="cellIs" dxfId="5" priority="12" operator="notEqual">
      <formula>0</formula>
    </cfRule>
  </conditionalFormatting>
  <conditionalFormatting sqref="O57">
    <cfRule type="cellIs" dxfId="4" priority="11" operator="equal">
      <formula>0</formula>
    </cfRule>
  </conditionalFormatting>
  <conditionalFormatting sqref="N60:Q60 O62 Q62 N65:Q65 O68:Q68 O70:Q71">
    <cfRule type="cellIs" dxfId="3" priority="10" operator="notEqual">
      <formula>0</formula>
    </cfRule>
  </conditionalFormatting>
  <conditionalFormatting sqref="R60">
    <cfRule type="cellIs" dxfId="2" priority="9" operator="notEqual">
      <formula>0</formula>
    </cfRule>
  </conditionalFormatting>
  <conditionalFormatting sqref="S60">
    <cfRule type="cellIs" dxfId="1" priority="8" operator="notEqual">
      <formula>0</formula>
    </cfRule>
  </conditionalFormatting>
  <conditionalFormatting sqref="J16 J18 J20 J22 J27 J29 J31 J33 I35">
    <cfRule type="cellIs" dxfId="0" priority="16" operator="equal">
      <formula>""</formula>
    </cfRule>
  </conditionalFormatting>
  <dataValidations count="12">
    <dataValidation type="list" showErrorMessage="1" errorTitle="Invalid Selection" error="Did any emissary maintain status quo last turn?  Please select 'Yes' or 'No'._x000a__x000a_* Drop-Down Menu *_x000a_ " promptTitle="Control of Region" prompt="_x000a_Select whether the PC owner has control of the region._x000a__x000a_* Drop-down menu *" sqref="I35">
      <formula1>$Q$83:$Q$84</formula1>
    </dataValidation>
    <dataValidation type="decimal" showErrorMessage="1" errorTitle="Invalid Number" error="Please enter a number between 8 and 30." promptTitle="Value vs. PC" prompt="_x000a_Enter a whole number greater than or equal to 1000." sqref="J38:J42">
      <formula1>8</formula1>
      <formula2>30</formula2>
    </dataValidation>
    <dataValidation type="whole" showErrorMessage="1" errorTitle="Invalid Number" error="_x000a_Please enter a whole number between 1 and 15._x000a_" promptTitle="Wizard Power" prompt="_x000a_Enter a whole number between 1 and 15." sqref="J46:J47">
      <formula1>1</formula1>
      <formula2>15</formula2>
    </dataValidation>
    <dataValidation type="list" showErrorMessage="1" errorTitle="Invalid Selection" error="Please select an Emissary performing Status Quo._x000a__x000a_* Drop-Down Menu *_x000a_ " promptTitle="Status Quo?" prompt="_x000a_Select whether there may be Status Quo activity in the PC._x000a__x000a_* Drop-down menu *" sqref="I38:I42">
      <formula1>$S$74:$S$80</formula1>
    </dataValidation>
    <dataValidation type="list" showErrorMessage="1" errorTitle="Invalid Selection" error="Please select whether the PC owner has declared you as an Enemy, is your Natural Enemy or neither._x000a__x000a_* Drop-Down Menu *_x000a_ " promptTitle="Enemy?" prompt="_x000a_Select whether the PC owner has declared you as an Enemy (or is your Natural Enemy)._x000a__x000a_* Drop-down menu *" sqref="J33">
      <formula1>$R$74:$R$76</formula1>
    </dataValidation>
    <dataValidation type="list" showErrorMessage="1" errorTitle="Invalid Selection" error="Does the PC owner control the region?  Please select 'Yes' or 'No'._x000a__x000a_* Drop-Down Menu *_x000a_ " promptTitle="Control of Region" prompt="_x000a_Select whether the PC owner has control of the region._x000a__x000a_* Drop-down menu *" sqref="J31">
      <formula1>$Q$74:$Q$75</formula1>
    </dataValidation>
    <dataValidation type="list" showErrorMessage="1" errorTitle="Invalid Selection" error="Please select whether the PC is either 'Owned' or 'Neutral'._x000a__x000a_* Drop-Down Menu *_x000a_ " promptTitle="Owned or Neutral" prompt="_x000a_Select whether the PC is Owned or Neutral._x000a__x000a_* Drop-down menu *" sqref="J29">
      <formula1>$P$74:$P$75</formula1>
    </dataValidation>
    <dataValidation type="whole" operator="greaterThan" showErrorMessage="1" errorTitle="Invalid Number" error="Please enter a whole number greater than 0." promptTitle="PC Defense" prompt="_x000a_Enter a whole number greater than 0." sqref="J27">
      <formula1>0</formula1>
    </dataValidation>
    <dataValidation type="list" showErrorMessage="1" errorTitle="Invalid Selection" error="Please select your Regional Reaction in the area._x000a__x000a_* Drop-Down Menu *_x000a_ " promptTitle="Regional Reaction" prompt="_x000a_Select your Regional Reaction in the area._x000a__x000a_* Drop-down menu *" sqref="J22">
      <formula1>$O$74:$O$77</formula1>
    </dataValidation>
    <dataValidation type="list" showErrorMessage="1" errorTitle="Invalid Selection" error="Please select the group's highest ranking leader._x000a__x000a_* Drop-Down Menu *_x000a_ " promptTitle="Highest Ranking Leader" prompt="_x000a_Select the group's highest ranking leader._x000a__x000a_* Drop-down menu *" sqref="J20">
      <formula1>$N$74:$N$78</formula1>
    </dataValidation>
    <dataValidation type="whole" operator="greaterThanOrEqual" showErrorMessage="1" errorTitle="Invalid Number" error="Please enter a whole number greater than or equal to 1000." promptTitle="Value vs. PC" prompt="_x000a_Enter a whole number greater than or equal to 1000." sqref="J18">
      <formula1>1000</formula1>
    </dataValidation>
    <dataValidation type="list" operator="greaterThanOrEqual" showErrorMessage="1" errorTitle="Invalid Selection" error="Please enter or select the kingdom you are playing._x000a__x000a_* Drop-down Menu *" promptTitle="Value vs. PC" prompt="_x000a_Enter a whole number greater than or equal to 1000." sqref="J16">
      <formula1>$N$92:$N$106</formula1>
    </dataValidation>
  </dataValidations>
  <printOptions horizontalCentered="1"/>
  <pageMargins left="0.2" right="0.2" top="0.5" bottom="0.5" header="0.3" footer="0.3"/>
  <pageSetup scale="79" orientation="portrait" r:id="rId1"/>
  <headerFooter>
    <oddFooter>&amp;Lwww.Alamaze.co&amp;RPrepared by: Frost Lord</oddFooter>
  </headerFooter>
  <colBreaks count="1" manualBreakCount="1">
    <brk id="12" max="1048575" man="1"/>
  </colBreaks>
  <ignoredErrors>
    <ignoredError sqref="H38:H42" numberStoredAsText="1"/>
  </ignoredErrors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  <pageSetUpPr fitToPage="1"/>
  </sheetPr>
  <dimension ref="B1:U109"/>
  <sheetViews>
    <sheetView showGridLines="0" showRowColHeaders="0" zoomScale="90" zoomScaleNormal="90" workbookViewId="0">
      <selection activeCell="J11" sqref="J11"/>
    </sheetView>
  </sheetViews>
  <sheetFormatPr defaultColWidth="9.109375" defaultRowHeight="14.4" x14ac:dyDescent="0.3"/>
  <cols>
    <col min="1" max="1" width="4.88671875" style="3" customWidth="1"/>
    <col min="2" max="2" width="9.109375" style="3"/>
    <col min="3" max="5" width="14" style="3" customWidth="1"/>
    <col min="6" max="7" width="9.109375" style="3"/>
    <col min="8" max="10" width="14" style="3" customWidth="1"/>
    <col min="11" max="11" width="9.109375" style="3"/>
    <col min="12" max="12" width="4.88671875" style="3" customWidth="1"/>
    <col min="13" max="13" width="9.109375" style="3"/>
    <col min="14" max="19" width="15.6640625" style="10" hidden="1" customWidth="1"/>
    <col min="20" max="20" width="15.6640625" style="11" hidden="1" customWidth="1"/>
    <col min="21" max="21" width="15.6640625" style="3" hidden="1" customWidth="1"/>
    <col min="22" max="16384" width="9.109375" style="3"/>
  </cols>
  <sheetData>
    <row r="1" spans="2:18" ht="26.25" x14ac:dyDescent="0.4">
      <c r="B1" s="445" t="s">
        <v>153</v>
      </c>
      <c r="C1" s="445"/>
      <c r="D1" s="445"/>
      <c r="E1" s="445"/>
      <c r="F1" s="445"/>
      <c r="G1" s="445"/>
      <c r="H1" s="445"/>
      <c r="I1" s="445"/>
      <c r="J1" s="445"/>
      <c r="K1" s="445"/>
    </row>
    <row r="2" spans="2:18" ht="7.5" customHeight="1" thickBot="1" x14ac:dyDescent="0.3"/>
    <row r="3" spans="2:18" ht="7.5" customHeight="1" thickTop="1" x14ac:dyDescent="0.25">
      <c r="B3" s="75"/>
      <c r="C3" s="448"/>
      <c r="D3" s="448"/>
      <c r="E3" s="448"/>
      <c r="F3" s="448"/>
      <c r="G3" s="448"/>
      <c r="H3" s="448"/>
      <c r="I3" s="448"/>
      <c r="J3" s="448"/>
      <c r="K3" s="76"/>
    </row>
    <row r="4" spans="2:18" ht="15.75" x14ac:dyDescent="0.25">
      <c r="B4" s="77"/>
      <c r="C4" s="449" t="s">
        <v>0</v>
      </c>
      <c r="D4" s="449"/>
      <c r="E4" s="449"/>
      <c r="F4" s="449"/>
      <c r="G4" s="449"/>
      <c r="H4" s="449"/>
      <c r="I4" s="449"/>
      <c r="J4" s="449"/>
      <c r="K4" s="78"/>
    </row>
    <row r="5" spans="2:18" ht="7.5" customHeight="1" x14ac:dyDescent="0.25">
      <c r="B5" s="77"/>
      <c r="C5" s="59"/>
      <c r="D5" s="59"/>
      <c r="E5" s="59"/>
      <c r="F5" s="59"/>
      <c r="G5" s="59"/>
      <c r="H5" s="59"/>
      <c r="I5" s="59"/>
      <c r="J5" s="59"/>
      <c r="K5" s="78"/>
    </row>
    <row r="6" spans="2:18" ht="15" x14ac:dyDescent="0.25">
      <c r="B6" s="77"/>
      <c r="C6" s="450" t="s">
        <v>32</v>
      </c>
      <c r="D6" s="450"/>
      <c r="E6" s="450"/>
      <c r="F6" s="450"/>
      <c r="G6" s="450"/>
      <c r="H6" s="450"/>
      <c r="I6" s="450"/>
      <c r="J6" s="450"/>
      <c r="K6" s="78"/>
    </row>
    <row r="7" spans="2:18" ht="7.5" customHeight="1" thickBot="1" x14ac:dyDescent="0.3">
      <c r="B7" s="79"/>
      <c r="C7" s="80"/>
      <c r="D7" s="80"/>
      <c r="E7" s="80"/>
      <c r="F7" s="80"/>
      <c r="G7" s="80"/>
      <c r="H7" s="80"/>
      <c r="I7" s="80"/>
      <c r="J7" s="80"/>
      <c r="K7" s="81"/>
    </row>
    <row r="8" spans="2:18" ht="7.5" customHeight="1" thickTop="1" thickBot="1" x14ac:dyDescent="0.3">
      <c r="N8" s="12"/>
      <c r="O8" s="12"/>
      <c r="P8" s="12"/>
      <c r="Q8" s="12"/>
      <c r="R8" s="12"/>
    </row>
    <row r="9" spans="2:18" ht="16.5" thickTop="1" x14ac:dyDescent="0.25">
      <c r="B9" s="82"/>
      <c r="C9" s="83"/>
      <c r="D9" s="83"/>
      <c r="E9" s="446" t="s">
        <v>41</v>
      </c>
      <c r="F9" s="446"/>
      <c r="G9" s="446"/>
      <c r="H9" s="446"/>
      <c r="I9" s="83"/>
      <c r="J9" s="83"/>
      <c r="K9" s="34"/>
      <c r="N9" s="12"/>
      <c r="O9" s="12"/>
      <c r="P9" s="12"/>
      <c r="Q9" s="12"/>
      <c r="R9" s="12"/>
    </row>
    <row r="10" spans="2:18" ht="7.5" customHeight="1" thickBot="1" x14ac:dyDescent="0.3">
      <c r="B10" s="77"/>
      <c r="C10" s="71"/>
      <c r="D10" s="71"/>
      <c r="E10" s="59"/>
      <c r="F10" s="59"/>
      <c r="G10" s="59"/>
      <c r="H10" s="59"/>
      <c r="I10" s="59"/>
      <c r="J10" s="59"/>
      <c r="K10" s="78"/>
      <c r="N10" s="12"/>
      <c r="O10" s="12"/>
      <c r="P10" s="12"/>
      <c r="Q10" s="12"/>
      <c r="R10" s="12"/>
    </row>
    <row r="11" spans="2:18" ht="15.75" thickBot="1" x14ac:dyDescent="0.3">
      <c r="B11" s="84" t="str">
        <f>IF(J11="","*** ","")</f>
        <v xml:space="preserve">*** </v>
      </c>
      <c r="C11" s="60" t="s">
        <v>133</v>
      </c>
      <c r="D11" s="61"/>
      <c r="E11" s="61"/>
      <c r="F11" s="276" t="str">
        <f>IF($J$11="","",VLOOKUP($J$11,$N$94:$R$108,5))</f>
        <v/>
      </c>
      <c r="G11" s="61"/>
      <c r="H11" s="61"/>
      <c r="I11" s="61"/>
      <c r="J11" s="1"/>
      <c r="K11" s="78"/>
      <c r="N11" s="12"/>
      <c r="O11" s="12"/>
      <c r="P11" s="12"/>
      <c r="Q11" s="12"/>
      <c r="R11" s="12"/>
    </row>
    <row r="12" spans="2:18" ht="7.5" customHeight="1" thickBot="1" x14ac:dyDescent="0.3">
      <c r="B12" s="77"/>
      <c r="C12" s="64"/>
      <c r="D12" s="59"/>
      <c r="E12" s="59"/>
      <c r="F12" s="59"/>
      <c r="G12" s="59"/>
      <c r="H12" s="59"/>
      <c r="I12" s="59"/>
      <c r="J12" s="85"/>
      <c r="K12" s="78"/>
      <c r="N12" s="12"/>
      <c r="O12" s="12"/>
      <c r="P12" s="12"/>
      <c r="Q12" s="12"/>
      <c r="R12" s="12"/>
    </row>
    <row r="13" spans="2:18" ht="15.75" thickBot="1" x14ac:dyDescent="0.3">
      <c r="B13" s="84" t="str">
        <f>IF(J13="","*** ","")</f>
        <v xml:space="preserve">*** </v>
      </c>
      <c r="C13" s="60" t="s">
        <v>132</v>
      </c>
      <c r="D13" s="61"/>
      <c r="E13" s="61"/>
      <c r="F13" s="61"/>
      <c r="G13" s="61"/>
      <c r="H13" s="61"/>
      <c r="I13" s="61"/>
      <c r="J13" s="1"/>
      <c r="K13" s="78"/>
      <c r="N13" s="12"/>
      <c r="O13" s="12"/>
      <c r="P13" s="12"/>
      <c r="Q13" s="12"/>
      <c r="R13" s="12"/>
    </row>
    <row r="14" spans="2:18" ht="7.5" customHeight="1" thickBot="1" x14ac:dyDescent="0.3">
      <c r="B14" s="77"/>
      <c r="C14" s="64"/>
      <c r="D14" s="59"/>
      <c r="E14" s="59"/>
      <c r="F14" s="59"/>
      <c r="G14" s="59"/>
      <c r="H14" s="59"/>
      <c r="I14" s="59"/>
      <c r="J14" s="85"/>
      <c r="K14" s="78"/>
      <c r="N14" s="12"/>
      <c r="O14" s="12"/>
      <c r="P14" s="12"/>
      <c r="Q14" s="12"/>
      <c r="R14" s="12"/>
    </row>
    <row r="15" spans="2:18" ht="15.75" thickBot="1" x14ac:dyDescent="0.3">
      <c r="B15" s="84" t="str">
        <f>IF(J15="","*** ","")</f>
        <v xml:space="preserve">*** </v>
      </c>
      <c r="C15" s="60" t="s">
        <v>40</v>
      </c>
      <c r="D15" s="61"/>
      <c r="E15" s="61"/>
      <c r="F15" s="61"/>
      <c r="G15" s="61"/>
      <c r="H15" s="61"/>
      <c r="I15" s="61"/>
      <c r="J15" s="8"/>
      <c r="K15" s="78"/>
      <c r="N15" s="12"/>
      <c r="O15" s="12"/>
      <c r="P15" s="12"/>
      <c r="Q15" s="12"/>
      <c r="R15" s="12"/>
    </row>
    <row r="16" spans="2:18" ht="7.5" customHeight="1" thickBot="1" x14ac:dyDescent="0.3">
      <c r="B16" s="77"/>
      <c r="C16" s="64"/>
      <c r="D16" s="59"/>
      <c r="E16" s="59"/>
      <c r="F16" s="59"/>
      <c r="G16" s="59"/>
      <c r="H16" s="59"/>
      <c r="I16" s="59"/>
      <c r="J16" s="85"/>
      <c r="K16" s="78"/>
      <c r="N16" s="12"/>
      <c r="O16" s="12"/>
      <c r="P16" s="12"/>
      <c r="Q16" s="12"/>
      <c r="R16" s="12"/>
    </row>
    <row r="17" spans="2:18" ht="15.75" thickBot="1" x14ac:dyDescent="0.3">
      <c r="B17" s="84" t="str">
        <f>IF(J17="","*** ","")</f>
        <v xml:space="preserve">*** </v>
      </c>
      <c r="C17" s="60" t="s">
        <v>14</v>
      </c>
      <c r="D17" s="61"/>
      <c r="E17" s="61"/>
      <c r="F17" s="61"/>
      <c r="G17" s="61"/>
      <c r="H17" s="61"/>
      <c r="I17" s="61"/>
      <c r="J17" s="1"/>
      <c r="K17" s="78"/>
      <c r="N17" s="12"/>
      <c r="O17" s="12"/>
      <c r="P17" s="12"/>
      <c r="Q17" s="12"/>
      <c r="R17" s="12"/>
    </row>
    <row r="18" spans="2:18" ht="7.5" customHeight="1" thickBot="1" x14ac:dyDescent="0.3">
      <c r="B18" s="79"/>
      <c r="C18" s="86"/>
      <c r="D18" s="87"/>
      <c r="E18" s="80"/>
      <c r="F18" s="80"/>
      <c r="G18" s="80"/>
      <c r="H18" s="80"/>
      <c r="I18" s="80"/>
      <c r="J18" s="88"/>
      <c r="K18" s="81"/>
      <c r="N18" s="12"/>
      <c r="O18" s="12"/>
      <c r="P18" s="12"/>
      <c r="Q18" s="12"/>
      <c r="R18" s="12"/>
    </row>
    <row r="19" spans="2:18" ht="7.5" customHeight="1" thickTop="1" thickBot="1" x14ac:dyDescent="0.3">
      <c r="C19" s="6"/>
      <c r="D19" s="7"/>
      <c r="J19" s="5"/>
      <c r="N19" s="12"/>
      <c r="O19" s="12"/>
      <c r="P19" s="12"/>
      <c r="Q19" s="12"/>
      <c r="R19" s="12"/>
    </row>
    <row r="20" spans="2:18" ht="16.5" thickTop="1" x14ac:dyDescent="0.25">
      <c r="B20" s="82"/>
      <c r="C20" s="89"/>
      <c r="D20" s="90"/>
      <c r="E20" s="446" t="s">
        <v>42</v>
      </c>
      <c r="F20" s="446"/>
      <c r="G20" s="446"/>
      <c r="H20" s="446"/>
      <c r="I20" s="83"/>
      <c r="J20" s="91"/>
      <c r="K20" s="92"/>
      <c r="N20" s="12"/>
      <c r="O20" s="12"/>
      <c r="P20" s="12"/>
      <c r="Q20" s="12"/>
      <c r="R20" s="12"/>
    </row>
    <row r="21" spans="2:18" ht="7.5" customHeight="1" thickBot="1" x14ac:dyDescent="0.3">
      <c r="B21" s="77"/>
      <c r="C21" s="93"/>
      <c r="D21" s="94"/>
      <c r="E21" s="59"/>
      <c r="F21" s="59"/>
      <c r="G21" s="59"/>
      <c r="H21" s="59"/>
      <c r="I21" s="59"/>
      <c r="J21" s="85"/>
      <c r="K21" s="78"/>
      <c r="N21" s="12"/>
      <c r="O21" s="12"/>
      <c r="P21" s="12"/>
      <c r="Q21" s="12"/>
      <c r="R21" s="12"/>
    </row>
    <row r="22" spans="2:18" ht="15.75" thickBot="1" x14ac:dyDescent="0.3">
      <c r="B22" s="84" t="str">
        <f>IF(J22="","*** ","")</f>
        <v xml:space="preserve">*** </v>
      </c>
      <c r="C22" s="60" t="s">
        <v>43</v>
      </c>
      <c r="D22" s="61"/>
      <c r="E22" s="61"/>
      <c r="F22" s="61"/>
      <c r="G22" s="61"/>
      <c r="H22" s="61"/>
      <c r="I22" s="61"/>
      <c r="J22" s="1"/>
      <c r="K22" s="78"/>
      <c r="N22" s="12"/>
      <c r="O22" s="12"/>
      <c r="P22" s="12"/>
      <c r="Q22" s="12"/>
      <c r="R22" s="12"/>
    </row>
    <row r="23" spans="2:18" ht="7.5" customHeight="1" thickBot="1" x14ac:dyDescent="0.3">
      <c r="B23" s="77"/>
      <c r="C23" s="64"/>
      <c r="D23" s="59"/>
      <c r="E23" s="59"/>
      <c r="F23" s="59"/>
      <c r="G23" s="59"/>
      <c r="H23" s="59"/>
      <c r="I23" s="59"/>
      <c r="J23" s="85"/>
      <c r="K23" s="78"/>
      <c r="N23" s="12"/>
      <c r="O23" s="12"/>
      <c r="P23" s="12"/>
      <c r="Q23" s="12"/>
      <c r="R23" s="12"/>
    </row>
    <row r="24" spans="2:18" ht="15.75" thickBot="1" x14ac:dyDescent="0.3">
      <c r="B24" s="84" t="str">
        <f>IF(J24="","*** ","")</f>
        <v xml:space="preserve">*** </v>
      </c>
      <c r="C24" s="60" t="s">
        <v>13</v>
      </c>
      <c r="D24" s="61"/>
      <c r="E24" s="61"/>
      <c r="F24" s="61"/>
      <c r="G24" s="61"/>
      <c r="H24" s="61"/>
      <c r="I24" s="61"/>
      <c r="J24" s="1"/>
      <c r="K24" s="78"/>
      <c r="N24" s="12"/>
      <c r="O24" s="12"/>
      <c r="P24" s="12"/>
      <c r="Q24" s="12"/>
      <c r="R24" s="12"/>
    </row>
    <row r="25" spans="2:18" ht="7.5" customHeight="1" thickBot="1" x14ac:dyDescent="0.3">
      <c r="B25" s="77"/>
      <c r="C25" s="64"/>
      <c r="D25" s="59"/>
      <c r="E25" s="59"/>
      <c r="F25" s="59"/>
      <c r="G25" s="59"/>
      <c r="H25" s="59"/>
      <c r="I25" s="59"/>
      <c r="J25" s="85"/>
      <c r="K25" s="78"/>
      <c r="N25" s="12"/>
      <c r="O25" s="12"/>
      <c r="P25" s="12"/>
      <c r="Q25" s="12"/>
      <c r="R25" s="12"/>
    </row>
    <row r="26" spans="2:18" ht="15.75" thickBot="1" x14ac:dyDescent="0.3">
      <c r="B26" s="84" t="str">
        <f>IF(C26="What is the PC owner's level of Control in the region?","",IF(J26="","*** ",""))</f>
        <v xml:space="preserve">*** </v>
      </c>
      <c r="C26" s="60" t="str">
        <f>IF(J24="Neutral","What is the PC owner's level of Control in the region?","What is the PC owner's level of Control in the region ?")</f>
        <v>What is the PC owner's level of Control in the region ?</v>
      </c>
      <c r="D26" s="61"/>
      <c r="E26" s="61"/>
      <c r="F26" s="61"/>
      <c r="G26" s="61"/>
      <c r="H26" s="61"/>
      <c r="I26" s="61"/>
      <c r="J26" s="1"/>
      <c r="K26" s="78"/>
      <c r="N26" s="12"/>
      <c r="O26" s="12"/>
      <c r="P26" s="12"/>
      <c r="Q26" s="12"/>
      <c r="R26" s="12"/>
    </row>
    <row r="27" spans="2:18" ht="7.5" customHeight="1" thickBot="1" x14ac:dyDescent="0.3">
      <c r="B27" s="77"/>
      <c r="C27" s="64"/>
      <c r="D27" s="59"/>
      <c r="E27" s="59"/>
      <c r="F27" s="59"/>
      <c r="G27" s="59"/>
      <c r="H27" s="59"/>
      <c r="I27" s="59"/>
      <c r="J27" s="85"/>
      <c r="K27" s="78"/>
      <c r="N27" s="12"/>
      <c r="O27" s="12"/>
      <c r="P27" s="12"/>
      <c r="Q27" s="12"/>
      <c r="R27" s="12"/>
    </row>
    <row r="28" spans="2:18" ht="15.75" thickBot="1" x14ac:dyDescent="0.3">
      <c r="B28" s="84" t="str">
        <f>IF(C28="What is the PC owner's Regional Reaction in the region?","",IF(J28="","*** ",""))</f>
        <v xml:space="preserve">*** </v>
      </c>
      <c r="C28" s="60" t="str">
        <f>IF(J24="Neutral","What is the PC owner's Regional Reaction in the region?","What is the PC owner's Regional Reaction in the region ?")</f>
        <v>What is the PC owner's Regional Reaction in the region ?</v>
      </c>
      <c r="D28" s="61"/>
      <c r="E28" s="61"/>
      <c r="F28" s="61"/>
      <c r="G28" s="61"/>
      <c r="H28" s="61"/>
      <c r="I28" s="61"/>
      <c r="J28" s="1"/>
      <c r="K28" s="78"/>
      <c r="N28" s="12"/>
      <c r="O28" s="12"/>
      <c r="P28" s="12"/>
      <c r="Q28" s="12"/>
      <c r="R28" s="12"/>
    </row>
    <row r="29" spans="2:18" ht="7.5" customHeight="1" thickBot="1" x14ac:dyDescent="0.3">
      <c r="B29" s="77"/>
      <c r="C29" s="64"/>
      <c r="D29" s="59"/>
      <c r="E29" s="59"/>
      <c r="F29" s="59"/>
      <c r="G29" s="59"/>
      <c r="H29" s="59"/>
      <c r="I29" s="59"/>
      <c r="J29" s="85"/>
      <c r="K29" s="78"/>
      <c r="N29" s="12"/>
      <c r="O29" s="12"/>
      <c r="P29" s="12"/>
      <c r="Q29" s="12"/>
      <c r="R29" s="12"/>
    </row>
    <row r="30" spans="2:18" ht="15.75" thickBot="1" x14ac:dyDescent="0.3">
      <c r="B30" s="95" t="str">
        <f>IF(I30="","*** ",IF(I30="No","",IF(N73=0,"*** ","")))</f>
        <v xml:space="preserve">*** </v>
      </c>
      <c r="C30" s="64" t="s">
        <v>81</v>
      </c>
      <c r="D30" s="59"/>
      <c r="E30" s="59"/>
      <c r="F30" s="59"/>
      <c r="G30" s="59"/>
      <c r="H30" s="59"/>
      <c r="I30" s="1"/>
      <c r="J30" s="59"/>
      <c r="K30" s="78"/>
      <c r="N30" s="12"/>
      <c r="O30" s="12"/>
      <c r="P30" s="12"/>
      <c r="Q30" s="12"/>
      <c r="R30" s="12"/>
    </row>
    <row r="31" spans="2:18" ht="7.5" customHeight="1" x14ac:dyDescent="0.25">
      <c r="B31" s="77"/>
      <c r="C31" s="96"/>
      <c r="D31" s="59"/>
      <c r="E31" s="59"/>
      <c r="F31" s="59"/>
      <c r="G31" s="59"/>
      <c r="H31" s="59"/>
      <c r="I31" s="59"/>
      <c r="J31" s="85"/>
      <c r="K31" s="78"/>
      <c r="N31" s="12"/>
      <c r="O31" s="12"/>
      <c r="P31" s="12"/>
      <c r="Q31" s="12"/>
      <c r="R31" s="12"/>
    </row>
    <row r="32" spans="2:18" ht="15" x14ac:dyDescent="0.25">
      <c r="B32" s="95"/>
      <c r="C32" s="65"/>
      <c r="D32" s="59"/>
      <c r="E32" s="59"/>
      <c r="F32" s="59"/>
      <c r="G32" s="59"/>
      <c r="H32" s="62" t="s">
        <v>86</v>
      </c>
      <c r="I32" s="62" t="s">
        <v>87</v>
      </c>
      <c r="J32" s="62" t="s">
        <v>88</v>
      </c>
      <c r="K32" s="78"/>
      <c r="N32" s="12"/>
      <c r="O32" s="12"/>
      <c r="P32" s="12"/>
      <c r="Q32" s="12"/>
      <c r="R32" s="12"/>
    </row>
    <row r="33" spans="2:21" ht="15" x14ac:dyDescent="0.25">
      <c r="B33" s="84"/>
      <c r="C33" s="66" t="s">
        <v>26</v>
      </c>
      <c r="D33" s="59"/>
      <c r="E33" s="59"/>
      <c r="F33" s="59"/>
      <c r="G33" s="67" t="s">
        <v>15</v>
      </c>
      <c r="H33" s="2"/>
      <c r="I33" s="2"/>
      <c r="J33" s="9"/>
      <c r="K33" s="78"/>
      <c r="N33" s="12"/>
      <c r="O33" s="12"/>
      <c r="P33" s="12"/>
      <c r="Q33" s="12"/>
      <c r="R33" s="12"/>
    </row>
    <row r="34" spans="2:21" ht="15" x14ac:dyDescent="0.25">
      <c r="B34" s="84"/>
      <c r="C34" s="68" t="s">
        <v>82</v>
      </c>
      <c r="D34" s="69"/>
      <c r="E34" s="59"/>
      <c r="F34" s="59"/>
      <c r="G34" s="67" t="s">
        <v>16</v>
      </c>
      <c r="H34" s="2"/>
      <c r="I34" s="2"/>
      <c r="J34" s="9"/>
      <c r="K34" s="78"/>
      <c r="N34" s="12"/>
      <c r="O34" s="12"/>
      <c r="P34" s="12"/>
      <c r="Q34" s="12"/>
      <c r="R34" s="12"/>
    </row>
    <row r="35" spans="2:21" ht="15" x14ac:dyDescent="0.25">
      <c r="B35" s="84"/>
      <c r="C35" s="68" t="s">
        <v>83</v>
      </c>
      <c r="D35" s="70"/>
      <c r="E35" s="59"/>
      <c r="F35" s="59"/>
      <c r="G35" s="67" t="s">
        <v>17</v>
      </c>
      <c r="H35" s="2"/>
      <c r="I35" s="2"/>
      <c r="J35" s="9"/>
      <c r="K35" s="78"/>
      <c r="N35" s="12"/>
      <c r="O35" s="12"/>
      <c r="P35" s="12"/>
      <c r="Q35" s="12"/>
      <c r="R35" s="12"/>
    </row>
    <row r="36" spans="2:21" ht="15" x14ac:dyDescent="0.25">
      <c r="B36" s="84"/>
      <c r="C36" s="68" t="s">
        <v>84</v>
      </c>
      <c r="D36" s="70"/>
      <c r="E36" s="59"/>
      <c r="F36" s="59"/>
      <c r="G36" s="67" t="s">
        <v>18</v>
      </c>
      <c r="H36" s="2"/>
      <c r="I36" s="2"/>
      <c r="J36" s="9"/>
      <c r="K36" s="78"/>
      <c r="N36" s="12"/>
      <c r="O36" s="12"/>
      <c r="P36" s="12"/>
      <c r="Q36" s="12"/>
      <c r="R36" s="12"/>
    </row>
    <row r="37" spans="2:21" ht="15" x14ac:dyDescent="0.25">
      <c r="B37" s="84"/>
      <c r="C37" s="68" t="s">
        <v>85</v>
      </c>
      <c r="D37" s="59"/>
      <c r="E37" s="59"/>
      <c r="F37" s="59"/>
      <c r="G37" s="67" t="s">
        <v>19</v>
      </c>
      <c r="H37" s="2"/>
      <c r="I37" s="2"/>
      <c r="J37" s="9"/>
      <c r="K37" s="78"/>
      <c r="N37" s="12"/>
      <c r="O37" s="12"/>
      <c r="P37" s="12"/>
      <c r="Q37" s="12"/>
      <c r="R37" s="12"/>
    </row>
    <row r="38" spans="2:21" ht="7.5" customHeight="1" x14ac:dyDescent="0.25">
      <c r="B38" s="77"/>
      <c r="C38" s="63"/>
      <c r="D38" s="63"/>
      <c r="E38" s="61"/>
      <c r="F38" s="61"/>
      <c r="G38" s="61"/>
      <c r="H38" s="61"/>
      <c r="I38" s="61"/>
      <c r="J38" s="61"/>
      <c r="K38" s="78"/>
      <c r="N38" s="12"/>
      <c r="O38" s="12"/>
      <c r="P38" s="12"/>
      <c r="Q38" s="12"/>
      <c r="R38" s="12"/>
    </row>
    <row r="39" spans="2:21" ht="7.5" customHeight="1" thickBot="1" x14ac:dyDescent="0.3">
      <c r="B39" s="79"/>
      <c r="C39" s="80"/>
      <c r="D39" s="80"/>
      <c r="E39" s="80"/>
      <c r="F39" s="80"/>
      <c r="G39" s="80"/>
      <c r="H39" s="80"/>
      <c r="I39" s="80"/>
      <c r="J39" s="80"/>
      <c r="K39" s="81"/>
      <c r="N39" s="12"/>
      <c r="O39" s="12"/>
      <c r="P39" s="12"/>
      <c r="Q39" s="12"/>
      <c r="R39" s="12"/>
    </row>
    <row r="40" spans="2:21" ht="7.5" customHeight="1" thickTop="1" thickBot="1" x14ac:dyDescent="0.3">
      <c r="C40" s="4"/>
      <c r="D40" s="4"/>
      <c r="N40" s="12"/>
      <c r="O40" s="12"/>
      <c r="P40" s="12"/>
      <c r="Q40" s="12"/>
      <c r="R40" s="12"/>
    </row>
    <row r="41" spans="2:21" ht="7.5" customHeight="1" thickTop="1" x14ac:dyDescent="0.25">
      <c r="B41" s="75"/>
      <c r="C41" s="97"/>
      <c r="D41" s="97"/>
      <c r="E41" s="97"/>
      <c r="F41" s="97"/>
      <c r="G41" s="98"/>
      <c r="H41" s="97"/>
      <c r="I41" s="97"/>
      <c r="J41" s="97"/>
      <c r="K41" s="76"/>
      <c r="N41" s="12"/>
      <c r="O41" s="12"/>
      <c r="P41" s="12"/>
      <c r="Q41" s="12"/>
      <c r="R41" s="12"/>
    </row>
    <row r="42" spans="2:21" ht="15.75" x14ac:dyDescent="0.25">
      <c r="B42" s="77"/>
      <c r="C42" s="447" t="s">
        <v>130</v>
      </c>
      <c r="D42" s="447"/>
      <c r="E42" s="447"/>
      <c r="F42" s="59"/>
      <c r="G42" s="99"/>
      <c r="H42" s="447" t="s">
        <v>131</v>
      </c>
      <c r="I42" s="447"/>
      <c r="J42" s="447"/>
      <c r="K42" s="78"/>
      <c r="N42" s="12"/>
      <c r="O42" s="12"/>
      <c r="P42" s="12"/>
      <c r="Q42" s="12"/>
      <c r="R42" s="12"/>
    </row>
    <row r="43" spans="2:21" ht="7.5" customHeight="1" x14ac:dyDescent="0.25">
      <c r="B43" s="77"/>
      <c r="C43" s="71"/>
      <c r="D43" s="71"/>
      <c r="E43" s="59"/>
      <c r="F43" s="59"/>
      <c r="G43" s="99"/>
      <c r="H43" s="59"/>
      <c r="I43" s="59"/>
      <c r="J43" s="59"/>
      <c r="K43" s="78"/>
      <c r="N43" s="12"/>
      <c r="O43" s="12"/>
      <c r="P43" s="12"/>
      <c r="Q43" s="12"/>
      <c r="R43" s="12"/>
    </row>
    <row r="44" spans="2:21" ht="27" customHeight="1" x14ac:dyDescent="0.25">
      <c r="B44" s="77"/>
      <c r="C44" s="72" t="s">
        <v>1</v>
      </c>
      <c r="D44" s="73" t="s">
        <v>11</v>
      </c>
      <c r="E44" s="72" t="s">
        <v>2</v>
      </c>
      <c r="F44" s="59"/>
      <c r="G44" s="99"/>
      <c r="H44" s="72" t="s">
        <v>1</v>
      </c>
      <c r="I44" s="73" t="s">
        <v>11</v>
      </c>
      <c r="J44" s="72" t="s">
        <v>2</v>
      </c>
      <c r="K44" s="78"/>
      <c r="N44" s="12"/>
      <c r="O44" s="12"/>
      <c r="P44" s="12"/>
      <c r="Q44" s="12"/>
      <c r="R44" s="12"/>
    </row>
    <row r="45" spans="2:21" ht="20.25" customHeight="1" x14ac:dyDescent="0.25">
      <c r="B45" s="77"/>
      <c r="C45" s="74" t="str">
        <f>IF($O$48&gt;0,"",IF(O$63="n/a","",IF(O$63&gt;=0.5,"Success",IF(O$63&gt;=-0.1,"Maybe","Fail"))))</f>
        <v/>
      </c>
      <c r="D45" s="74" t="str">
        <f t="shared" ref="D45:E45" si="0">IF($O$48&gt;0,"",IF(P$63="n/a","",IF(P$63&gt;=0.5,"Success",IF(P$63&gt;=-0.1,"Maybe","Fail"))))</f>
        <v/>
      </c>
      <c r="E45" s="74" t="str">
        <f t="shared" si="0"/>
        <v/>
      </c>
      <c r="F45" s="59"/>
      <c r="G45" s="99"/>
      <c r="H45" s="74" t="str">
        <f>IF($O$48&gt;0,"",IF(O$64="n/a","",IF(O$64&gt;=0.5,"Success",IF(O$64&gt;=-0.1,"Maybe","Fail"))))</f>
        <v/>
      </c>
      <c r="I45" s="74" t="str">
        <f t="shared" ref="I45:J45" si="1">IF($O$48&gt;0,"",IF(P$64="n/a","",IF(P$64&gt;=0.5,"Success",IF(P$64&gt;=-0.1,"Maybe","Fail"))))</f>
        <v/>
      </c>
      <c r="J45" s="74" t="str">
        <f t="shared" si="1"/>
        <v/>
      </c>
      <c r="K45" s="78"/>
      <c r="N45" s="12"/>
      <c r="O45" s="12"/>
      <c r="P45" s="12"/>
      <c r="Q45" s="12"/>
      <c r="R45" s="12"/>
    </row>
    <row r="46" spans="2:21" ht="7.5" customHeight="1" thickBot="1" x14ac:dyDescent="0.3">
      <c r="B46" s="79"/>
      <c r="C46" s="80"/>
      <c r="D46" s="80"/>
      <c r="E46" s="80"/>
      <c r="F46" s="80"/>
      <c r="G46" s="100"/>
      <c r="H46" s="80"/>
      <c r="I46" s="80"/>
      <c r="J46" s="80"/>
      <c r="K46" s="81"/>
      <c r="N46" s="12"/>
      <c r="O46" s="12"/>
      <c r="P46" s="12"/>
      <c r="Q46" s="12"/>
      <c r="R46" s="12"/>
    </row>
    <row r="47" spans="2:21" ht="32.25" thickTop="1" x14ac:dyDescent="0.25">
      <c r="N47" s="103"/>
      <c r="O47" s="103"/>
      <c r="P47" s="103"/>
      <c r="Q47" s="109" t="s">
        <v>129</v>
      </c>
      <c r="R47" s="103"/>
      <c r="S47" s="103"/>
      <c r="T47" s="108"/>
      <c r="U47" s="275"/>
    </row>
    <row r="48" spans="2:21" ht="15" x14ac:dyDescent="0.25">
      <c r="N48" s="101" t="s">
        <v>89</v>
      </c>
      <c r="O48" s="110">
        <f>COUNTIF(B11:B30,"*** ")</f>
        <v>9</v>
      </c>
      <c r="P48" s="103"/>
      <c r="Q48" s="103"/>
      <c r="R48" s="103"/>
      <c r="S48" s="103"/>
      <c r="T48" s="108"/>
      <c r="U48" s="275"/>
    </row>
    <row r="49" spans="14:21" ht="15" x14ac:dyDescent="0.25">
      <c r="N49" s="103"/>
      <c r="O49" s="103"/>
      <c r="P49" s="103"/>
      <c r="Q49" s="103"/>
      <c r="R49" s="103"/>
      <c r="S49" s="103"/>
      <c r="T49" s="108"/>
      <c r="U49" s="275"/>
    </row>
    <row r="50" spans="14:21" ht="26.25" x14ac:dyDescent="0.25">
      <c r="N50" s="102" t="s">
        <v>90</v>
      </c>
      <c r="O50" s="102" t="s">
        <v>91</v>
      </c>
      <c r="P50" s="102" t="s">
        <v>45</v>
      </c>
      <c r="Q50" s="102" t="s">
        <v>46</v>
      </c>
      <c r="R50" s="102" t="s">
        <v>29</v>
      </c>
      <c r="S50" s="108"/>
      <c r="T50" s="108"/>
      <c r="U50" s="275"/>
    </row>
    <row r="51" spans="14:21" ht="15" x14ac:dyDescent="0.25">
      <c r="N51" s="111">
        <f>IF($J$11="",0,VLOOKUP($J$11,$N$94:$Q$108,3))</f>
        <v>0</v>
      </c>
      <c r="O51" s="111">
        <f>IF($J$11="",0,VLOOKUP($J$11,$N$94:$Q$108,4))</f>
        <v>0</v>
      </c>
      <c r="P51" s="112">
        <f>IF($J13="Prince",0.8,IF($J13="Duke",0.7,IF($J13="Count",0.6,IF($J13="Baron",0.5,IF($J13="Governor",0.3,IF($J13="Ambassador",0.2,IF($J13="Envoy",0.1,0)))))))</f>
        <v>0</v>
      </c>
      <c r="Q51" s="113">
        <f>IF(J15="",0,J15)</f>
        <v>0</v>
      </c>
      <c r="R51" s="114">
        <f>IF(J17="",0,IF(J17="Friendly",1,IF(J17="Tolerant",2,IF(J17="Suspicious",3,4))))</f>
        <v>0</v>
      </c>
      <c r="S51" s="108"/>
      <c r="T51" s="108"/>
      <c r="U51" s="275"/>
    </row>
    <row r="52" spans="14:21" x14ac:dyDescent="0.3">
      <c r="N52" s="103"/>
      <c r="O52" s="103"/>
      <c r="P52" s="103"/>
      <c r="Q52" s="103"/>
      <c r="R52" s="103"/>
      <c r="S52" s="103"/>
      <c r="T52" s="108"/>
      <c r="U52" s="275"/>
    </row>
    <row r="53" spans="14:21" ht="27.6" x14ac:dyDescent="0.3">
      <c r="N53" s="102" t="s">
        <v>76</v>
      </c>
      <c r="O53" s="102" t="s">
        <v>30</v>
      </c>
      <c r="P53" s="102" t="s">
        <v>80</v>
      </c>
      <c r="Q53" s="102" t="s">
        <v>72</v>
      </c>
      <c r="R53" s="102" t="s">
        <v>31</v>
      </c>
      <c r="S53" s="103"/>
      <c r="T53" s="108"/>
      <c r="U53" s="275"/>
    </row>
    <row r="54" spans="14:21" x14ac:dyDescent="0.3">
      <c r="N54" s="112">
        <f>IF(J22="",0,IF(J22="City",6.6,IF(J22="Town",2.8,IF(J22="Village",1.4,0))))</f>
        <v>0</v>
      </c>
      <c r="O54" s="115">
        <f>IF(J24="",0,IF(J24="Neutral",1,2))</f>
        <v>0</v>
      </c>
      <c r="P54" s="111">
        <f>IF(J24="",0,IF(J24="Neutral",1,IF(J26="Control",1.15,IF(J26="Minor",0.85,1))))</f>
        <v>0</v>
      </c>
      <c r="Q54" s="111">
        <f>IF(J24="",0,IF(J24="Neutral",1,IF(J28="Friendly",1.15,IF(J28="Hostile",0.85,1))))</f>
        <v>0</v>
      </c>
      <c r="R54" s="111">
        <f>IF(I30="",0,IF(I30="No",0,IF(N73=0,0,Q73)))</f>
        <v>0</v>
      </c>
      <c r="S54" s="103"/>
      <c r="T54" s="108"/>
      <c r="U54" s="275"/>
    </row>
    <row r="55" spans="14:21" x14ac:dyDescent="0.3">
      <c r="N55" s="103"/>
      <c r="O55" s="103"/>
      <c r="P55" s="103"/>
      <c r="Q55" s="103"/>
      <c r="R55" s="103"/>
      <c r="S55" s="103"/>
      <c r="T55" s="108"/>
      <c r="U55" s="275"/>
    </row>
    <row r="56" spans="14:21" x14ac:dyDescent="0.3">
      <c r="N56" s="104" t="s">
        <v>75</v>
      </c>
      <c r="O56" s="103">
        <v>0.85</v>
      </c>
      <c r="P56" s="103">
        <v>1</v>
      </c>
      <c r="Q56" s="103">
        <v>1.1499999999999999</v>
      </c>
      <c r="R56" s="103"/>
      <c r="S56" s="103"/>
      <c r="T56" s="108"/>
      <c r="U56" s="275"/>
    </row>
    <row r="57" spans="14:21" x14ac:dyDescent="0.3">
      <c r="N57" s="105" t="s">
        <v>73</v>
      </c>
      <c r="O57" s="116">
        <f>$P$51*$Q$51*$N$51*O$56</f>
        <v>0</v>
      </c>
      <c r="P57" s="116">
        <f>$P$51*$Q$51*$N$51*P$56</f>
        <v>0</v>
      </c>
      <c r="Q57" s="116">
        <f>$P$51*$Q$51*$N$51*Q$56</f>
        <v>0</v>
      </c>
      <c r="R57" s="103"/>
      <c r="S57" s="103"/>
      <c r="T57" s="108"/>
      <c r="U57" s="275"/>
    </row>
    <row r="58" spans="14:21" x14ac:dyDescent="0.3">
      <c r="N58" s="105" t="s">
        <v>74</v>
      </c>
      <c r="O58" s="116">
        <f>$P$51*$Q$51*$O$51*O$56</f>
        <v>0</v>
      </c>
      <c r="P58" s="116">
        <f>$P$51*$Q$51*$O$51*P$56</f>
        <v>0</v>
      </c>
      <c r="Q58" s="116">
        <f>$P$51*$Q$51*$O$51*Q$56</f>
        <v>0</v>
      </c>
      <c r="R58" s="103"/>
      <c r="S58" s="103"/>
      <c r="T58" s="108"/>
      <c r="U58" s="275"/>
    </row>
    <row r="59" spans="14:21" x14ac:dyDescent="0.3">
      <c r="N59" s="108"/>
      <c r="O59" s="108"/>
      <c r="P59" s="108"/>
      <c r="Q59" s="108"/>
      <c r="R59" s="103"/>
      <c r="S59" s="103"/>
      <c r="T59" s="108"/>
      <c r="U59" s="275"/>
    </row>
    <row r="60" spans="14:21" x14ac:dyDescent="0.3">
      <c r="N60" s="101" t="s">
        <v>12</v>
      </c>
      <c r="O60" s="116">
        <f>N54*R51*P54*Q54</f>
        <v>0</v>
      </c>
      <c r="P60" s="103"/>
      <c r="Q60" s="103"/>
      <c r="R60" s="103"/>
      <c r="S60" s="103"/>
      <c r="T60" s="108"/>
      <c r="U60" s="275"/>
    </row>
    <row r="61" spans="14:21" x14ac:dyDescent="0.3">
      <c r="N61" s="103"/>
      <c r="O61" s="103"/>
      <c r="P61" s="103"/>
      <c r="Q61" s="103"/>
      <c r="R61" s="103"/>
      <c r="S61" s="103"/>
      <c r="T61" s="108"/>
      <c r="U61" s="275"/>
    </row>
    <row r="62" spans="14:21" x14ac:dyDescent="0.3">
      <c r="N62" s="104" t="s">
        <v>77</v>
      </c>
      <c r="O62" s="103"/>
      <c r="P62" s="103"/>
      <c r="Q62" s="103"/>
      <c r="R62" s="103"/>
      <c r="S62" s="103"/>
      <c r="T62" s="108"/>
      <c r="U62" s="275"/>
    </row>
    <row r="63" spans="14:21" x14ac:dyDescent="0.3">
      <c r="N63" s="105" t="s">
        <v>78</v>
      </c>
      <c r="O63" s="116" t="str">
        <f>IF($O$54=2,O$57-($O$60+$R$54),IF($O$54=1,O$58-($O$60+$R$54),"n/a"))</f>
        <v>n/a</v>
      </c>
      <c r="P63" s="116" t="str">
        <f>IF($O$54=2,P$57-($O$60+$R$54),IF($O$54=1,P$58-($O$60+$R$54),"n/a"))</f>
        <v>n/a</v>
      </c>
      <c r="Q63" s="116" t="str">
        <f>IF($O$54=2,Q$57-($O$60+$R$54),IF($O$54=1,Q$58-($O$60+$R$54),"n/a"))</f>
        <v>n/a</v>
      </c>
      <c r="R63" s="103"/>
      <c r="S63" s="103"/>
      <c r="T63" s="108"/>
      <c r="U63" s="275"/>
    </row>
    <row r="64" spans="14:21" x14ac:dyDescent="0.3">
      <c r="N64" s="105" t="s">
        <v>79</v>
      </c>
      <c r="O64" s="116" t="str">
        <f>IF($O$54=2,O$58-(($O$60*2)+$R$54),"n/a")</f>
        <v>n/a</v>
      </c>
      <c r="P64" s="116" t="str">
        <f>IF($O$54=2,P$58-(($O$60*2)+$R$54),"n/a")</f>
        <v>n/a</v>
      </c>
      <c r="Q64" s="116" t="str">
        <f>IF($O$54=2,Q$58-(($O$60*2)+$R$54),"n/a")</f>
        <v>n/a</v>
      </c>
      <c r="R64" s="103"/>
      <c r="S64" s="103"/>
      <c r="T64" s="108"/>
      <c r="U64" s="275"/>
    </row>
    <row r="65" spans="14:21" x14ac:dyDescent="0.3">
      <c r="N65" s="108"/>
      <c r="O65" s="108"/>
      <c r="P65" s="108"/>
      <c r="Q65" s="108"/>
      <c r="R65" s="103"/>
      <c r="S65" s="103"/>
      <c r="T65" s="108"/>
      <c r="U65" s="275"/>
    </row>
    <row r="66" spans="14:21" ht="27.6" x14ac:dyDescent="0.3">
      <c r="N66" s="106" t="s">
        <v>28</v>
      </c>
      <c r="O66" s="106" t="s">
        <v>92</v>
      </c>
      <c r="P66" s="106" t="s">
        <v>23</v>
      </c>
      <c r="Q66" s="106" t="s">
        <v>27</v>
      </c>
      <c r="R66" s="102" t="s">
        <v>25</v>
      </c>
      <c r="S66" s="102" t="s">
        <v>44</v>
      </c>
      <c r="T66" s="102" t="s">
        <v>67</v>
      </c>
      <c r="U66" s="275"/>
    </row>
    <row r="67" spans="14:21" x14ac:dyDescent="0.3">
      <c r="N67" s="117">
        <f>IF(H33="",0,IF(I33="",0,IF(J33="",0,1)))</f>
        <v>0</v>
      </c>
      <c r="O67" s="118">
        <f>IF($H33="",0,VLOOKUP($H33,$N$94:$Q$108,2))</f>
        <v>0</v>
      </c>
      <c r="P67" s="118">
        <f>IF($I33="Prince",0.8,IF($I33="Duke",0.7,IF($I33="Count",0.6,IF($I33="Baron",0.5,IF($I33="Governor",0.3,IF($I33="Ambassador",0.2,IF($I33="Envoy",0.1,0)))))))</f>
        <v>0</v>
      </c>
      <c r="Q67" s="119">
        <f>O67*P67*J33</f>
        <v>0</v>
      </c>
      <c r="R67" s="103" t="s">
        <v>9</v>
      </c>
      <c r="S67" s="103" t="str">
        <f>IF(I30="","",IF(I30="No","n/a","Prince"))</f>
        <v/>
      </c>
      <c r="T67" s="103" t="str">
        <f>IF(I30="","",IF(I30="No","n/a","AN"))</f>
        <v/>
      </c>
      <c r="U67" s="275"/>
    </row>
    <row r="68" spans="14:21" x14ac:dyDescent="0.3">
      <c r="N68" s="117">
        <f>IF(H34="",0,IF(I34="",0,IF(J34="",0,1)))</f>
        <v>0</v>
      </c>
      <c r="O68" s="118">
        <f t="shared" ref="O68:O71" si="2">IF($H34="",0,VLOOKUP($H34,$N$94:$Q$108,2))</f>
        <v>0</v>
      </c>
      <c r="P68" s="118">
        <f>IF($I34="Prince",0.8,IF($I34="Duke",0.7,IF($I34="Count",0.6,IF($I34="Baron",0.5,IF($I34="Governor",0.3,IF($I34="Ambassador",0.2,IF($I34="Envoy",0.1,0)))))))</f>
        <v>0</v>
      </c>
      <c r="Q68" s="119">
        <f>O68*P68*J34</f>
        <v>0</v>
      </c>
      <c r="R68" s="103" t="s">
        <v>10</v>
      </c>
      <c r="S68" s="103" t="str">
        <f>IF(I30="","",IF(I30="No","n/a","Duke"))</f>
        <v/>
      </c>
      <c r="T68" s="103" t="str">
        <f>IF(I30="","",IF(I30="No","n/a","BL"))</f>
        <v/>
      </c>
      <c r="U68" s="275"/>
    </row>
    <row r="69" spans="14:21" x14ac:dyDescent="0.3">
      <c r="N69" s="117">
        <f>IF(H35="",0,IF(I35="",0,IF(J35="",0,1)))</f>
        <v>0</v>
      </c>
      <c r="O69" s="118">
        <f t="shared" si="2"/>
        <v>0</v>
      </c>
      <c r="P69" s="118">
        <f>IF($I35="Prince",0.8,IF($I35="Duke",0.7,IF($I35="Count",0.6,IF($I35="Baron",0.5,IF($I35="Governor",0.3,IF($I35="Ambassador",0.2,IF($I35="Envoy",0.1,0)))))))</f>
        <v>0</v>
      </c>
      <c r="Q69" s="119">
        <f>O69*P69*J35</f>
        <v>0</v>
      </c>
      <c r="R69" s="103"/>
      <c r="S69" s="103" t="str">
        <f>IF(I30="","",IF(I30="No","n/a","Count"))</f>
        <v/>
      </c>
      <c r="T69" s="103" t="str">
        <f>IF(I30="","",IF(I30="No","n/a","DA"))</f>
        <v/>
      </c>
      <c r="U69" s="275"/>
    </row>
    <row r="70" spans="14:21" x14ac:dyDescent="0.3">
      <c r="N70" s="117">
        <f>IF(H36="",0,IF(I36="",0,IF(J36="",0,1)))</f>
        <v>0</v>
      </c>
      <c r="O70" s="118">
        <f t="shared" si="2"/>
        <v>0</v>
      </c>
      <c r="P70" s="118">
        <f>IF($I36="Prince",0.8,IF($I36="Duke",0.7,IF($I36="Count",0.6,IF($I36="Baron",0.5,IF($I36="Governor",0.3,IF($I36="Ambassador",0.2,IF($I36="Envoy",0.1,0)))))))</f>
        <v>0</v>
      </c>
      <c r="Q70" s="119">
        <f>O70*P70*J36</f>
        <v>0</v>
      </c>
      <c r="R70" s="103"/>
      <c r="S70" s="103" t="str">
        <f>IF(I30="","",IF(I30="No","n/a","Baron"))</f>
        <v/>
      </c>
      <c r="T70" s="103" t="str">
        <f>IF(I30="","",IF(I30="No","n/a","DE"))</f>
        <v/>
      </c>
      <c r="U70" s="275"/>
    </row>
    <row r="71" spans="14:21" x14ac:dyDescent="0.3">
      <c r="N71" s="117">
        <f>IF(H37="",0,IF(I37="",0,IF(J37="",0,1)))</f>
        <v>0</v>
      </c>
      <c r="O71" s="118">
        <f t="shared" si="2"/>
        <v>0</v>
      </c>
      <c r="P71" s="118">
        <f>IF($I37="Prince",0.8,IF($I37="Duke",0.7,IF($I37="Count",0.6,IF($I37="Baron",0.5,IF($I37="Governor",0.3,IF($I37="Ambassador",0.2,IF($I37="Envoy",0.1,0)))))))</f>
        <v>0</v>
      </c>
      <c r="Q71" s="119">
        <f>O71*P71*J37</f>
        <v>0</v>
      </c>
      <c r="R71" s="103"/>
      <c r="S71" s="103" t="str">
        <f>IF(I30="","",IF(I30="No","n/a","Governor"))</f>
        <v/>
      </c>
      <c r="T71" s="103" t="str">
        <f>IF(I30="","",IF(I30="No","n/a","DW"))</f>
        <v/>
      </c>
      <c r="U71" s="275"/>
    </row>
    <row r="72" spans="14:21" x14ac:dyDescent="0.3">
      <c r="N72" s="117"/>
      <c r="O72" s="117"/>
      <c r="P72" s="117"/>
      <c r="Q72" s="117"/>
      <c r="R72" s="103"/>
      <c r="S72" s="103" t="str">
        <f>IF(I30="","",IF(I30="No","n/a","Ambassador"))</f>
        <v/>
      </c>
      <c r="T72" s="103" t="str">
        <f>IF(I30="","",IF(I30="No","n/a","EL"))</f>
        <v/>
      </c>
      <c r="U72" s="275"/>
    </row>
    <row r="73" spans="14:21" x14ac:dyDescent="0.3">
      <c r="N73" s="120">
        <f>SUM(N67:N71)</f>
        <v>0</v>
      </c>
      <c r="O73" s="120"/>
      <c r="P73" s="120"/>
      <c r="Q73" s="121">
        <f>SUM(Q67:Q71)</f>
        <v>0</v>
      </c>
      <c r="R73" s="103"/>
      <c r="S73" s="103" t="str">
        <f>IF(I30="","",IF(I30="No","n/a","Envoy"))</f>
        <v/>
      </c>
      <c r="T73" s="103" t="str">
        <f>IF(I30="","",IF(I30="No","n/a","GI"))</f>
        <v/>
      </c>
      <c r="U73" s="275"/>
    </row>
    <row r="74" spans="14:21" x14ac:dyDescent="0.3">
      <c r="N74" s="103"/>
      <c r="O74" s="103"/>
      <c r="P74" s="103"/>
      <c r="Q74" s="103"/>
      <c r="R74" s="103"/>
      <c r="S74" s="103"/>
      <c r="T74" s="103" t="str">
        <f>IF(I30="","",IF(I30="No","n/a","GN"))</f>
        <v/>
      </c>
      <c r="U74" s="275"/>
    </row>
    <row r="75" spans="14:21" x14ac:dyDescent="0.3">
      <c r="N75" s="103"/>
      <c r="O75" s="103"/>
      <c r="P75" s="103"/>
      <c r="Q75" s="103"/>
      <c r="R75" s="103"/>
      <c r="S75" s="103"/>
      <c r="T75" s="103" t="str">
        <f>IF(I30="","",IF(I30="No","n/a","RA"))</f>
        <v/>
      </c>
      <c r="U75" s="275"/>
    </row>
    <row r="76" spans="14:21" x14ac:dyDescent="0.3">
      <c r="N76" s="102" t="s">
        <v>47</v>
      </c>
      <c r="O76" s="102" t="s">
        <v>20</v>
      </c>
      <c r="P76" s="102" t="s">
        <v>21</v>
      </c>
      <c r="Q76" s="102" t="s">
        <v>24</v>
      </c>
      <c r="R76" s="102" t="s">
        <v>63</v>
      </c>
      <c r="S76" s="102" t="s">
        <v>22</v>
      </c>
      <c r="T76" s="103" t="str">
        <f>IF(I30="","",IF(I30="No","n/a","RD"))</f>
        <v/>
      </c>
      <c r="U76" s="275"/>
    </row>
    <row r="77" spans="14:21" x14ac:dyDescent="0.3">
      <c r="N77" s="107" t="s">
        <v>48</v>
      </c>
      <c r="O77" s="103" t="s">
        <v>3</v>
      </c>
      <c r="P77" s="103" t="s">
        <v>7</v>
      </c>
      <c r="Q77" s="103" t="s">
        <v>68</v>
      </c>
      <c r="R77" s="103" t="s">
        <v>64</v>
      </c>
      <c r="S77" s="103" t="s">
        <v>33</v>
      </c>
      <c r="T77" s="103" t="str">
        <f>IF(I30="","",IF(I30="No","n/a","SO"))</f>
        <v/>
      </c>
      <c r="U77" s="275"/>
    </row>
    <row r="78" spans="14:21" x14ac:dyDescent="0.3">
      <c r="N78" s="103" t="s">
        <v>49</v>
      </c>
      <c r="O78" s="103" t="s">
        <v>4</v>
      </c>
      <c r="P78" s="103" t="s">
        <v>8</v>
      </c>
      <c r="Q78" s="103" t="s">
        <v>69</v>
      </c>
      <c r="R78" s="103" t="s">
        <v>65</v>
      </c>
      <c r="S78" s="103" t="s">
        <v>34</v>
      </c>
      <c r="T78" s="103" t="str">
        <f>IF(I30="","",IF(I30="No","n/a","TR"))</f>
        <v/>
      </c>
      <c r="U78" s="275"/>
    </row>
    <row r="79" spans="14:21" x14ac:dyDescent="0.3">
      <c r="N79" s="103" t="s">
        <v>50</v>
      </c>
      <c r="O79" s="103" t="s">
        <v>5</v>
      </c>
      <c r="P79" s="103"/>
      <c r="Q79" s="103" t="s">
        <v>70</v>
      </c>
      <c r="R79" s="103" t="s">
        <v>66</v>
      </c>
      <c r="S79" s="103" t="s">
        <v>35</v>
      </c>
      <c r="T79" s="103" t="str">
        <f>IF(I30="","",IF(I30="No","n/a","UN"))</f>
        <v/>
      </c>
      <c r="U79" s="275"/>
    </row>
    <row r="80" spans="14:21" x14ac:dyDescent="0.3">
      <c r="N80" s="103" t="s">
        <v>51</v>
      </c>
      <c r="O80" s="103" t="s">
        <v>6</v>
      </c>
      <c r="P80" s="103"/>
      <c r="Q80" s="103" t="s">
        <v>71</v>
      </c>
      <c r="R80" s="103"/>
      <c r="S80" s="103" t="s">
        <v>36</v>
      </c>
      <c r="T80" s="103" t="str">
        <f>IF(I30="","",IF(I30="No","n/a","WA"))</f>
        <v/>
      </c>
      <c r="U80" s="275"/>
    </row>
    <row r="81" spans="14:21" x14ac:dyDescent="0.3">
      <c r="N81" s="103" t="s">
        <v>52</v>
      </c>
      <c r="O81" s="103"/>
      <c r="P81" s="103"/>
      <c r="Q81" s="103"/>
      <c r="R81" s="103"/>
      <c r="S81" s="103" t="s">
        <v>37</v>
      </c>
      <c r="T81" s="103" t="str">
        <f>IF(I30="","",IF(I30="No","n/a","WI"))</f>
        <v/>
      </c>
      <c r="U81" s="275"/>
    </row>
    <row r="82" spans="14:21" x14ac:dyDescent="0.3">
      <c r="N82" s="103" t="s">
        <v>53</v>
      </c>
      <c r="O82" s="103"/>
      <c r="P82" s="103"/>
      <c r="Q82" s="103"/>
      <c r="R82" s="103"/>
      <c r="S82" s="103" t="s">
        <v>38</v>
      </c>
      <c r="T82" s="108"/>
      <c r="U82" s="275"/>
    </row>
    <row r="83" spans="14:21" x14ac:dyDescent="0.3">
      <c r="N83" s="103" t="s">
        <v>54</v>
      </c>
      <c r="O83" s="103"/>
      <c r="P83" s="103"/>
      <c r="Q83" s="103"/>
      <c r="R83" s="103"/>
      <c r="S83" s="103" t="s">
        <v>39</v>
      </c>
      <c r="T83" s="108"/>
      <c r="U83" s="275"/>
    </row>
    <row r="84" spans="14:21" x14ac:dyDescent="0.3">
      <c r="N84" s="103" t="s">
        <v>55</v>
      </c>
      <c r="O84" s="103"/>
      <c r="P84" s="103"/>
      <c r="Q84" s="103"/>
      <c r="R84" s="103"/>
      <c r="S84" s="103"/>
      <c r="T84" s="108"/>
      <c r="U84" s="275"/>
    </row>
    <row r="85" spans="14:21" x14ac:dyDescent="0.3">
      <c r="N85" s="103" t="s">
        <v>60</v>
      </c>
      <c r="O85" s="103"/>
      <c r="P85" s="103"/>
      <c r="Q85" s="103"/>
      <c r="R85" s="103"/>
      <c r="S85" s="103"/>
      <c r="T85" s="108"/>
      <c r="U85" s="275"/>
    </row>
    <row r="86" spans="14:21" x14ac:dyDescent="0.3">
      <c r="N86" s="103" t="s">
        <v>61</v>
      </c>
      <c r="O86" s="103"/>
      <c r="P86" s="103"/>
      <c r="Q86" s="103"/>
      <c r="R86" s="103"/>
      <c r="S86" s="103"/>
      <c r="T86" s="108"/>
      <c r="U86" s="275"/>
    </row>
    <row r="87" spans="14:21" x14ac:dyDescent="0.3">
      <c r="N87" s="103" t="s">
        <v>62</v>
      </c>
      <c r="O87" s="103"/>
      <c r="P87" s="103"/>
      <c r="Q87" s="103"/>
      <c r="R87" s="103"/>
      <c r="S87" s="103"/>
      <c r="T87" s="108"/>
      <c r="U87" s="275"/>
    </row>
    <row r="88" spans="14:21" x14ac:dyDescent="0.3">
      <c r="N88" s="103" t="s">
        <v>56</v>
      </c>
      <c r="O88" s="103"/>
      <c r="P88" s="103"/>
      <c r="Q88" s="103"/>
      <c r="R88" s="103"/>
      <c r="S88" s="103"/>
      <c r="T88" s="108"/>
      <c r="U88" s="275"/>
    </row>
    <row r="89" spans="14:21" x14ac:dyDescent="0.3">
      <c r="N89" s="103" t="s">
        <v>59</v>
      </c>
      <c r="O89" s="103"/>
      <c r="P89" s="103"/>
      <c r="Q89" s="103"/>
      <c r="R89" s="103"/>
      <c r="S89" s="103"/>
      <c r="T89" s="108"/>
      <c r="U89" s="275"/>
    </row>
    <row r="90" spans="14:21" x14ac:dyDescent="0.3">
      <c r="N90" s="103" t="s">
        <v>57</v>
      </c>
      <c r="O90" s="103"/>
      <c r="P90" s="103"/>
      <c r="Q90" s="103"/>
      <c r="R90" s="103"/>
      <c r="S90" s="103"/>
      <c r="T90" s="108"/>
      <c r="U90" s="275"/>
    </row>
    <row r="91" spans="14:21" x14ac:dyDescent="0.3">
      <c r="N91" s="103" t="s">
        <v>58</v>
      </c>
      <c r="O91" s="103"/>
      <c r="P91" s="103"/>
      <c r="Q91" s="103"/>
      <c r="R91" s="103"/>
      <c r="S91" s="103"/>
      <c r="T91" s="108"/>
      <c r="U91" s="275"/>
    </row>
    <row r="92" spans="14:21" x14ac:dyDescent="0.3">
      <c r="N92" s="272"/>
      <c r="O92" s="272"/>
      <c r="P92" s="272"/>
      <c r="Q92" s="272"/>
      <c r="R92" s="272"/>
      <c r="S92" s="272"/>
      <c r="T92" s="273"/>
      <c r="U92" s="275"/>
    </row>
    <row r="93" spans="14:21" ht="27.6" x14ac:dyDescent="0.3">
      <c r="N93" s="102" t="s">
        <v>47</v>
      </c>
      <c r="O93" s="102" t="s">
        <v>336</v>
      </c>
      <c r="P93" s="102" t="s">
        <v>337</v>
      </c>
      <c r="Q93" s="102" t="s">
        <v>338</v>
      </c>
      <c r="R93" s="102" t="s">
        <v>339</v>
      </c>
      <c r="S93" s="102"/>
      <c r="T93" s="102"/>
      <c r="U93" s="275"/>
    </row>
    <row r="94" spans="14:21" x14ac:dyDescent="0.3">
      <c r="N94" s="272" t="s">
        <v>48</v>
      </c>
      <c r="O94" s="272">
        <v>1</v>
      </c>
      <c r="P94" s="272">
        <v>1</v>
      </c>
      <c r="Q94" s="272">
        <v>1</v>
      </c>
      <c r="R94" s="277" t="s">
        <v>144</v>
      </c>
      <c r="S94" s="272"/>
      <c r="T94" s="273"/>
      <c r="U94" s="275"/>
    </row>
    <row r="95" spans="14:21" x14ac:dyDescent="0.3">
      <c r="N95" s="272" t="s">
        <v>49</v>
      </c>
      <c r="O95" s="272">
        <v>1</v>
      </c>
      <c r="P95" s="272">
        <v>1</v>
      </c>
      <c r="Q95" s="272">
        <v>1</v>
      </c>
      <c r="R95" s="277" t="s">
        <v>144</v>
      </c>
      <c r="S95" s="272"/>
      <c r="T95" s="273"/>
      <c r="U95" s="275"/>
    </row>
    <row r="96" spans="14:21" x14ac:dyDescent="0.3">
      <c r="N96" s="272" t="s">
        <v>50</v>
      </c>
      <c r="O96" s="272">
        <v>1.1000000000000001</v>
      </c>
      <c r="P96" s="272">
        <v>1.1000000000000001</v>
      </c>
      <c r="Q96" s="272">
        <v>1.1000000000000001</v>
      </c>
      <c r="R96" s="274" t="s">
        <v>342</v>
      </c>
      <c r="S96" s="272"/>
      <c r="T96" s="273"/>
      <c r="U96" s="275"/>
    </row>
    <row r="97" spans="14:21" x14ac:dyDescent="0.3">
      <c r="N97" s="272" t="s">
        <v>51</v>
      </c>
      <c r="O97" s="272">
        <v>1</v>
      </c>
      <c r="P97" s="272">
        <v>1</v>
      </c>
      <c r="Q97" s="272">
        <v>1</v>
      </c>
      <c r="R97" s="277" t="s">
        <v>144</v>
      </c>
      <c r="S97" s="272"/>
      <c r="T97" s="273"/>
      <c r="U97" s="275"/>
    </row>
    <row r="98" spans="14:21" x14ac:dyDescent="0.3">
      <c r="N98" s="272" t="s">
        <v>52</v>
      </c>
      <c r="O98" s="272">
        <v>1</v>
      </c>
      <c r="P98" s="272">
        <v>1</v>
      </c>
      <c r="Q98" s="272">
        <v>1</v>
      </c>
      <c r="R98" s="277" t="s">
        <v>144</v>
      </c>
      <c r="S98" s="272"/>
      <c r="T98" s="273"/>
      <c r="U98" s="275"/>
    </row>
    <row r="99" spans="14:21" x14ac:dyDescent="0.3">
      <c r="N99" s="272" t="s">
        <v>53</v>
      </c>
      <c r="O99" s="272">
        <v>1.1000000000000001</v>
      </c>
      <c r="P99" s="272">
        <v>1.1000000000000001</v>
      </c>
      <c r="Q99" s="272">
        <v>1.1000000000000001</v>
      </c>
      <c r="R99" s="274" t="s">
        <v>341</v>
      </c>
      <c r="S99" s="272"/>
      <c r="T99" s="273"/>
      <c r="U99" s="275"/>
    </row>
    <row r="100" spans="14:21" x14ac:dyDescent="0.3">
      <c r="N100" s="272" t="s">
        <v>54</v>
      </c>
      <c r="O100" s="272">
        <v>1</v>
      </c>
      <c r="P100" s="272">
        <v>1</v>
      </c>
      <c r="Q100" s="272">
        <v>1</v>
      </c>
      <c r="R100" s="277" t="s">
        <v>144</v>
      </c>
      <c r="S100" s="272"/>
      <c r="T100" s="273"/>
      <c r="U100" s="275"/>
    </row>
    <row r="101" spans="14:21" x14ac:dyDescent="0.3">
      <c r="N101" s="272" t="s">
        <v>55</v>
      </c>
      <c r="O101" s="272">
        <v>1</v>
      </c>
      <c r="P101" s="272">
        <v>1.1499999999999999</v>
      </c>
      <c r="Q101" s="272">
        <v>1</v>
      </c>
      <c r="R101" s="274" t="s">
        <v>340</v>
      </c>
      <c r="S101" s="272"/>
      <c r="T101" s="273"/>
      <c r="U101" s="275"/>
    </row>
    <row r="102" spans="14:21" x14ac:dyDescent="0.3">
      <c r="N102" s="272" t="s">
        <v>60</v>
      </c>
      <c r="O102" s="272">
        <v>1</v>
      </c>
      <c r="P102" s="272">
        <v>1</v>
      </c>
      <c r="Q102" s="272">
        <v>1</v>
      </c>
      <c r="R102" s="277" t="s">
        <v>144</v>
      </c>
      <c r="S102" s="272"/>
      <c r="T102" s="273"/>
      <c r="U102" s="275"/>
    </row>
    <row r="103" spans="14:21" x14ac:dyDescent="0.3">
      <c r="N103" s="272" t="s">
        <v>61</v>
      </c>
      <c r="O103" s="272">
        <v>1</v>
      </c>
      <c r="P103" s="272">
        <v>1</v>
      </c>
      <c r="Q103" s="272">
        <v>1</v>
      </c>
      <c r="R103" s="277" t="s">
        <v>144</v>
      </c>
      <c r="S103" s="272"/>
      <c r="T103" s="273"/>
      <c r="U103" s="275"/>
    </row>
    <row r="104" spans="14:21" x14ac:dyDescent="0.3">
      <c r="N104" s="272" t="s">
        <v>62</v>
      </c>
      <c r="O104" s="272">
        <v>1</v>
      </c>
      <c r="P104" s="272">
        <v>1</v>
      </c>
      <c r="Q104" s="272">
        <v>1</v>
      </c>
      <c r="R104" s="277" t="s">
        <v>144</v>
      </c>
      <c r="S104" s="272"/>
      <c r="T104" s="273"/>
      <c r="U104" s="275"/>
    </row>
    <row r="105" spans="14:21" x14ac:dyDescent="0.3">
      <c r="N105" s="272" t="s">
        <v>56</v>
      </c>
      <c r="O105" s="272">
        <v>1</v>
      </c>
      <c r="P105" s="272">
        <v>1</v>
      </c>
      <c r="Q105" s="272">
        <v>1</v>
      </c>
      <c r="R105" s="277" t="s">
        <v>144</v>
      </c>
      <c r="S105" s="272"/>
      <c r="T105" s="273"/>
      <c r="U105" s="275"/>
    </row>
    <row r="106" spans="14:21" x14ac:dyDescent="0.3">
      <c r="N106" s="272" t="s">
        <v>59</v>
      </c>
      <c r="O106" s="272">
        <v>1</v>
      </c>
      <c r="P106" s="272">
        <v>1</v>
      </c>
      <c r="Q106" s="272">
        <v>1</v>
      </c>
      <c r="R106" s="277" t="s">
        <v>144</v>
      </c>
      <c r="S106" s="272"/>
      <c r="T106" s="273"/>
      <c r="U106" s="275"/>
    </row>
    <row r="107" spans="14:21" x14ac:dyDescent="0.3">
      <c r="N107" s="272" t="s">
        <v>57</v>
      </c>
      <c r="O107" s="272">
        <v>1</v>
      </c>
      <c r="P107" s="272">
        <v>1</v>
      </c>
      <c r="Q107" s="272">
        <v>1</v>
      </c>
      <c r="R107" s="277" t="s">
        <v>144</v>
      </c>
      <c r="S107" s="272"/>
      <c r="T107" s="273"/>
      <c r="U107" s="275"/>
    </row>
    <row r="108" spans="14:21" x14ac:dyDescent="0.3">
      <c r="N108" s="272" t="s">
        <v>58</v>
      </c>
      <c r="O108" s="272">
        <v>1</v>
      </c>
      <c r="P108" s="272">
        <v>1</v>
      </c>
      <c r="Q108" s="272">
        <v>1</v>
      </c>
      <c r="R108" s="277" t="s">
        <v>144</v>
      </c>
      <c r="S108" s="272"/>
      <c r="T108" s="273"/>
      <c r="U108" s="275"/>
    </row>
    <row r="109" spans="14:21" x14ac:dyDescent="0.3">
      <c r="N109" s="272"/>
      <c r="O109" s="272"/>
      <c r="P109" s="272"/>
      <c r="Q109" s="272"/>
      <c r="R109" s="272"/>
      <c r="S109" s="272"/>
      <c r="T109" s="273"/>
      <c r="U109" s="275"/>
    </row>
  </sheetData>
  <sheetProtection password="8D31" sheet="1" objects="1" scenarios="1" selectLockedCells="1"/>
  <sortState ref="R103:R107">
    <sortCondition ref="R107"/>
  </sortState>
  <mergeCells count="8">
    <mergeCell ref="B1:K1"/>
    <mergeCell ref="E20:H20"/>
    <mergeCell ref="E9:H9"/>
    <mergeCell ref="C42:E42"/>
    <mergeCell ref="H42:J42"/>
    <mergeCell ref="C3:J3"/>
    <mergeCell ref="C4:J4"/>
    <mergeCell ref="C6:J6"/>
  </mergeCells>
  <conditionalFormatting sqref="C45:E45 H45:J45">
    <cfRule type="cellIs" dxfId="33" priority="30" operator="equal">
      <formula>"Success"</formula>
    </cfRule>
    <cfRule type="cellIs" dxfId="32" priority="31" operator="equal">
      <formula>"Maybe"</formula>
    </cfRule>
    <cfRule type="cellIs" dxfId="31" priority="32" operator="equal">
      <formula>"Fail"</formula>
    </cfRule>
  </conditionalFormatting>
  <conditionalFormatting sqref="C28">
    <cfRule type="cellIs" dxfId="30" priority="29" operator="equal">
      <formula>"What is the PC owner's Regional Reaction in the region?"</formula>
    </cfRule>
  </conditionalFormatting>
  <conditionalFormatting sqref="C26">
    <cfRule type="cellIs" dxfId="29" priority="28" operator="equal">
      <formula>"What is the PC owner's level of Control in the region?"</formula>
    </cfRule>
  </conditionalFormatting>
  <conditionalFormatting sqref="J26">
    <cfRule type="expression" dxfId="28" priority="26" stopIfTrue="1">
      <formula>$J$24="Neutral"</formula>
    </cfRule>
  </conditionalFormatting>
  <conditionalFormatting sqref="J28">
    <cfRule type="expression" dxfId="27" priority="7" stopIfTrue="1">
      <formula>$J$24="Neutral"</formula>
    </cfRule>
  </conditionalFormatting>
  <conditionalFormatting sqref="H33:J37">
    <cfRule type="expression" dxfId="26" priority="1" stopIfTrue="1">
      <formula>$I$30=""</formula>
    </cfRule>
    <cfRule type="expression" dxfId="25" priority="2" stopIfTrue="1">
      <formula>$I$30="No"</formula>
    </cfRule>
    <cfRule type="expression" priority="3" stopIfTrue="1">
      <formula>$H$33&lt;&gt;""</formula>
    </cfRule>
    <cfRule type="expression" priority="4" stopIfTrue="1">
      <formula>$H$34&lt;&gt;""</formula>
    </cfRule>
    <cfRule type="expression" priority="5" stopIfTrue="1">
      <formula>$H$35&lt;&gt;""</formula>
    </cfRule>
    <cfRule type="expression" priority="6" stopIfTrue="1">
      <formula>$H$36&lt;&gt;""</formula>
    </cfRule>
    <cfRule type="expression" priority="35" stopIfTrue="1">
      <formula>$H$37&lt;&gt;""</formula>
    </cfRule>
    <cfRule type="cellIs" dxfId="24" priority="36" operator="equal">
      <formula>""</formula>
    </cfRule>
  </conditionalFormatting>
  <conditionalFormatting sqref="N51:R51 N54:R54">
    <cfRule type="cellIs" dxfId="23" priority="17" operator="notEqual">
      <formula>0</formula>
    </cfRule>
  </conditionalFormatting>
  <conditionalFormatting sqref="O63:Q64">
    <cfRule type="cellIs" priority="8" stopIfTrue="1" operator="equal">
      <formula>"n/a"</formula>
    </cfRule>
    <cfRule type="cellIs" dxfId="22" priority="12" stopIfTrue="1" operator="greaterThan">
      <formula>0.5</formula>
    </cfRule>
    <cfRule type="cellIs" dxfId="21" priority="13" stopIfTrue="1" operator="greaterThan">
      <formula>-0.1</formula>
    </cfRule>
    <cfRule type="cellIs" dxfId="20" priority="14" operator="notEqual">
      <formula>"n/a"</formula>
    </cfRule>
  </conditionalFormatting>
  <conditionalFormatting sqref="N73">
    <cfRule type="cellIs" dxfId="19" priority="11" operator="notEqual">
      <formula>0</formula>
    </cfRule>
  </conditionalFormatting>
  <conditionalFormatting sqref="Q73">
    <cfRule type="cellIs" dxfId="18" priority="10" operator="notEqual">
      <formula>0</formula>
    </cfRule>
  </conditionalFormatting>
  <conditionalFormatting sqref="O48">
    <cfRule type="cellIs" dxfId="17" priority="9" operator="equal">
      <formula>0</formula>
    </cfRule>
  </conditionalFormatting>
  <conditionalFormatting sqref="J11 J13 J15 J17 J22 J24 J26 J28 I30">
    <cfRule type="cellIs" dxfId="16" priority="27" operator="equal">
      <formula>""</formula>
    </cfRule>
  </conditionalFormatting>
  <dataValidations xWindow="936" yWindow="655" count="11">
    <dataValidation type="decimal" showErrorMessage="1" errorTitle="Invalid Number" error="Please enter a number between 8 and 30." promptTitle="Value vs. PC" prompt="_x000a_Enter a whole number greater than or equal to 1000." sqref="J33:J37 J15">
      <formula1>8</formula1>
      <formula2>30</formula2>
    </dataValidation>
    <dataValidation type="list" showErrorMessage="1" errorTitle="Invalid Selection" error="Please select an Emissary performing Status Quo._x000a__x000a_* Drop-Down Menu *_x000a_ " promptTitle="Status Quo?" prompt="_x000a_Select whether there may be Status Quo activity in the PC._x000a__x000a_* Drop-down menu *" sqref="I33:I37">
      <formula1>$S$67:$S$73</formula1>
    </dataValidation>
    <dataValidation type="list" showErrorMessage="1" errorTitle="Invalid Selection" error="Are any emissaries maintaining status quo this turn?  Please select 'Yes' or 'No'._x000a__x000a_* Drop-Down Menu *_x000a_ " promptTitle="Control of Region" prompt="_x000a_Select whether the PC owner has control of the region._x000a__x000a_* Drop-down menu *" sqref="I30">
      <formula1>$R$67:$R$68</formula1>
    </dataValidation>
    <dataValidation type="list" showErrorMessage="1" errorTitle="Invalid Selection" error="Please select the kingdom of the Emissary performing Status Quo._x000a__x000a_* Drop-Down Menu *_x000a_ " promptTitle="Status Quo?" prompt="_x000a_Select whether there may be Status Quo activity in the PC._x000a__x000a_* Drop-down menu *" sqref="H33:H37">
      <formula1>$T$67:$T$81</formula1>
    </dataValidation>
    <dataValidation type="list" showErrorMessage="1" errorTitle="Invalid Selection" error="Please select your Regional Reaction in the area._x000a__x000a_* Drop-Down Menu *_x000a_ " promptTitle="Regional Reaction" prompt="_x000a_Select your Regional Reaction in the area._x000a__x000a_* Drop-down menu *" sqref="J17">
      <formula1>$O$77:$O$80</formula1>
    </dataValidation>
    <dataValidation type="list" showErrorMessage="1" errorTitle="Invalid Selection" error="Please select whether the PC is either 'Owned' or 'Neutral'._x000a__x000a_* Drop-Down Menu *_x000a_ " promptTitle="Owned or Neutral" prompt="_x000a_Select whether the PC is Owned or Neutral._x000a__x000a_* Drop-down menu *" sqref="J24">
      <formula1>$P$77:$P$78</formula1>
    </dataValidation>
    <dataValidation type="list" showErrorMessage="1" errorTitle="Invalid Selection" error="What is the PC owner's level of Control in the region?_x000a__x000a_* Drop-Down Menu *_x000a_ " promptTitle="Control of Region" prompt="_x000a_Select whether the PC owner has control of the region._x000a__x000a_* Drop-down menu *" sqref="J26">
      <formula1>$Q$77:$Q$80</formula1>
    </dataValidation>
    <dataValidation type="list" showErrorMessage="1" errorTitle="Invalid Selection" error="Please select an Emissary._x000a__x000a_* Drop-Down Menu *_x000a_ " promptTitle="Status Quo?" prompt="_x000a_Select whether there may be Status Quo activity in the PC._x000a__x000a_* Drop-down menu *" sqref="J13">
      <formula1>$S$77:$S$83</formula1>
    </dataValidation>
    <dataValidation type="list" showErrorMessage="1" errorTitle="Invalid Selection" error="Please select a Kingdom._x000a__x000a_* Drop-Down Menu *_x000a_ " promptTitle="Status Quo?" prompt="_x000a_Select whether there may be Status Quo activity in the PC._x000a__x000a_* Drop-down menu *" sqref="J11">
      <formula1>$N$77:$N$91</formula1>
    </dataValidation>
    <dataValidation type="list" showErrorMessage="1" errorTitle="Invalid Selection" error="Please select City, Town or Village._x000a__x000a_* Drop-Down Menu *_x000a_ " promptTitle="Status Quo?" prompt="_x000a_Select whether there may be Status Quo activity in the PC._x000a__x000a_* Drop-down menu *" sqref="J22">
      <formula1>$R$77:$R$79</formula1>
    </dataValidation>
    <dataValidation type="list" showErrorMessage="1" errorTitle="Invalid Selection" error="Please select the PC owner's Regional Reaction._x000a__x000a_* Drop-Down Menu *_x000a_ " promptTitle="Enemy?" prompt="_x000a_Select whether the PC owner has declared you as an Enemy (or is your Natural Enemy)._x000a__x000a_* Drop-down menu *" sqref="J28">
      <formula1>$O$77:$O$80</formula1>
    </dataValidation>
  </dataValidations>
  <printOptions horizontalCentered="1"/>
  <pageMargins left="0.2" right="0.2" top="0.5" bottom="0.5" header="0.3" footer="0.3"/>
  <pageSetup scale="79" orientation="portrait" r:id="rId1"/>
  <headerFooter>
    <oddFooter>&amp;Lwww.Alamaze.co&amp;RPrepared by: Frost Lord</oddFooter>
  </headerFooter>
  <ignoredErrors>
    <ignoredError sqref="G33:G37" numberStoredAsText="1"/>
  </ignoredErrors>
  <picture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L99"/>
  <sheetViews>
    <sheetView showGridLines="0" showRowColHeaders="0" zoomScale="90" zoomScaleNormal="90" workbookViewId="0">
      <selection activeCell="E4" sqref="E4"/>
    </sheetView>
  </sheetViews>
  <sheetFormatPr defaultColWidth="9.109375" defaultRowHeight="14.4" x14ac:dyDescent="0.3"/>
  <cols>
    <col min="1" max="1" width="0.88671875" style="142" customWidth="1"/>
    <col min="2" max="2" width="4.33203125" style="142" customWidth="1"/>
    <col min="3" max="3" width="53.88671875" style="142" customWidth="1"/>
    <col min="4" max="4" width="3.44140625" style="142" customWidth="1"/>
    <col min="5" max="5" width="13.6640625" style="142" customWidth="1"/>
    <col min="6" max="6" width="11.44140625" style="142" customWidth="1"/>
    <col min="7" max="7" width="4.33203125" style="142" customWidth="1"/>
    <col min="8" max="8" width="0.88671875" style="214" customWidth="1"/>
    <col min="9" max="9" width="4.33203125" style="214" customWidth="1"/>
    <col min="10" max="12" width="21.6640625" style="214" customWidth="1"/>
    <col min="13" max="13" width="4.33203125" style="214" customWidth="1"/>
    <col min="14" max="14" width="0.88671875" style="214" customWidth="1"/>
    <col min="15" max="15" width="4.33203125" style="214" customWidth="1"/>
    <col min="16" max="18" width="21.88671875" style="214" customWidth="1"/>
    <col min="19" max="20" width="4.33203125" style="214" customWidth="1"/>
    <col min="21" max="21" width="6.6640625" style="214" customWidth="1"/>
    <col min="22" max="22" width="1.109375" style="215" hidden="1" customWidth="1"/>
    <col min="23" max="23" width="5.5546875" style="214" hidden="1" customWidth="1"/>
    <col min="24" max="24" width="20" style="214" hidden="1" customWidth="1"/>
    <col min="25" max="27" width="9.88671875" style="262" hidden="1" customWidth="1"/>
    <col min="28" max="28" width="5.5546875" style="214" hidden="1" customWidth="1"/>
    <col min="29" max="29" width="18.44140625" style="142" hidden="1" customWidth="1"/>
    <col min="30" max="31" width="18.44140625" style="144" hidden="1" customWidth="1"/>
    <col min="32" max="33" width="18.44140625" style="142" hidden="1" customWidth="1"/>
    <col min="34" max="34" width="17.5546875" style="142" hidden="1" customWidth="1"/>
    <col min="35" max="36" width="18" style="142" hidden="1" customWidth="1"/>
    <col min="37" max="37" width="155.109375" style="142" hidden="1" customWidth="1"/>
    <col min="38" max="38" width="45.109375" style="142" hidden="1" customWidth="1"/>
    <col min="39" max="16384" width="9.109375" style="142"/>
  </cols>
  <sheetData>
    <row r="1" spans="2:38" ht="30" customHeight="1" x14ac:dyDescent="0.45">
      <c r="C1" s="399" t="s">
        <v>211</v>
      </c>
      <c r="D1" s="399"/>
      <c r="E1" s="399"/>
      <c r="F1" s="399"/>
      <c r="J1" s="400" t="s">
        <v>212</v>
      </c>
      <c r="K1" s="400"/>
      <c r="L1" s="400"/>
      <c r="P1" s="400" t="s">
        <v>417</v>
      </c>
      <c r="Q1" s="400"/>
      <c r="R1" s="400"/>
      <c r="S1" s="400"/>
      <c r="X1" s="401" t="s">
        <v>213</v>
      </c>
      <c r="Y1" s="401"/>
      <c r="Z1" s="401"/>
      <c r="AA1" s="401"/>
      <c r="AC1" s="216" t="s">
        <v>214</v>
      </c>
      <c r="AD1" s="216" t="s">
        <v>215</v>
      </c>
      <c r="AE1" s="216" t="s">
        <v>216</v>
      </c>
      <c r="AF1" s="216" t="s">
        <v>310</v>
      </c>
      <c r="AG1" s="216" t="s">
        <v>307</v>
      </c>
      <c r="AH1" s="216" t="s">
        <v>306</v>
      </c>
      <c r="AI1" s="216" t="s">
        <v>217</v>
      </c>
      <c r="AJ1" s="263" t="s">
        <v>325</v>
      </c>
      <c r="AK1" s="271" t="s">
        <v>339</v>
      </c>
      <c r="AL1" s="287" t="s">
        <v>375</v>
      </c>
    </row>
    <row r="2" spans="2:38" ht="15.75" customHeight="1" thickBot="1" x14ac:dyDescent="0.3">
      <c r="B2" s="217"/>
      <c r="C2" s="218"/>
      <c r="D2" s="218"/>
      <c r="E2" s="218"/>
      <c r="F2" s="218"/>
      <c r="G2" s="217"/>
      <c r="J2" s="219"/>
      <c r="K2" s="219"/>
      <c r="L2" s="219"/>
      <c r="X2" s="220"/>
      <c r="Y2" s="267" t="s">
        <v>218</v>
      </c>
      <c r="Z2" s="267" t="s">
        <v>324</v>
      </c>
      <c r="AA2" s="267" t="s">
        <v>219</v>
      </c>
      <c r="AC2" s="222" t="s">
        <v>48</v>
      </c>
      <c r="AD2" s="261">
        <v>17</v>
      </c>
      <c r="AE2" s="224">
        <v>8</v>
      </c>
      <c r="AF2" s="223">
        <v>1</v>
      </c>
      <c r="AG2" s="223">
        <v>1</v>
      </c>
      <c r="AH2" s="223">
        <v>0.05</v>
      </c>
      <c r="AI2" s="223">
        <v>1</v>
      </c>
      <c r="AJ2" s="223">
        <v>1.1000000000000001</v>
      </c>
      <c r="AK2" s="285" t="s">
        <v>409</v>
      </c>
      <c r="AL2" s="285" t="s">
        <v>384</v>
      </c>
    </row>
    <row r="3" spans="2:38" ht="15.75" customHeight="1" thickTop="1" x14ac:dyDescent="0.3">
      <c r="B3" s="225"/>
      <c r="C3" s="226"/>
      <c r="D3" s="226"/>
      <c r="E3" s="226"/>
      <c r="F3" s="226"/>
      <c r="G3" s="151"/>
      <c r="I3" s="402" t="s">
        <v>419</v>
      </c>
      <c r="J3" s="403"/>
      <c r="K3" s="403"/>
      <c r="L3" s="403"/>
      <c r="M3" s="404"/>
      <c r="O3" s="402" t="s">
        <v>420</v>
      </c>
      <c r="P3" s="403"/>
      <c r="Q3" s="403"/>
      <c r="R3" s="403"/>
      <c r="S3" s="403"/>
      <c r="T3" s="404"/>
      <c r="X3" s="264" t="s">
        <v>333</v>
      </c>
      <c r="Y3" s="227">
        <f>IF($E$8="",0,VLOOKUP($E$8,$AC$19:$AE$23,2))</f>
        <v>0</v>
      </c>
      <c r="Z3" s="227">
        <f>(Y3+AA3)/2</f>
        <v>0</v>
      </c>
      <c r="AA3" s="227">
        <f>IF($E$8="",0,VLOOKUP($E$8,$AC$19:$AE$23,3))</f>
        <v>0</v>
      </c>
      <c r="AC3" s="222" t="s">
        <v>49</v>
      </c>
      <c r="AD3" s="261">
        <v>8</v>
      </c>
      <c r="AE3" s="224">
        <v>6</v>
      </c>
      <c r="AF3" s="223">
        <v>1</v>
      </c>
      <c r="AG3" s="223">
        <v>0</v>
      </c>
      <c r="AH3" s="223">
        <v>0</v>
      </c>
      <c r="AI3" s="223">
        <v>0.9</v>
      </c>
      <c r="AJ3" s="223">
        <v>1</v>
      </c>
      <c r="AK3" s="285" t="s">
        <v>403</v>
      </c>
      <c r="AL3" s="285" t="s">
        <v>385</v>
      </c>
    </row>
    <row r="4" spans="2:38" ht="15.75" customHeight="1" x14ac:dyDescent="0.3">
      <c r="B4" s="228"/>
      <c r="C4" s="283" t="s">
        <v>345</v>
      </c>
      <c r="D4" s="230"/>
      <c r="E4" s="282"/>
      <c r="F4" s="230"/>
      <c r="G4" s="152"/>
      <c r="I4" s="405"/>
      <c r="J4" s="406"/>
      <c r="K4" s="406"/>
      <c r="L4" s="406"/>
      <c r="M4" s="407"/>
      <c r="O4" s="405"/>
      <c r="P4" s="406"/>
      <c r="Q4" s="406"/>
      <c r="R4" s="406"/>
      <c r="S4" s="406"/>
      <c r="T4" s="407"/>
      <c r="X4" s="220"/>
      <c r="Y4" s="221"/>
      <c r="Z4" s="221"/>
      <c r="AA4" s="221"/>
      <c r="AC4" s="222" t="s">
        <v>50</v>
      </c>
      <c r="AD4" s="261">
        <v>16</v>
      </c>
      <c r="AE4" s="224">
        <v>8</v>
      </c>
      <c r="AF4" s="223">
        <v>1</v>
      </c>
      <c r="AG4" s="223">
        <v>1</v>
      </c>
      <c r="AH4" s="223">
        <v>0.08</v>
      </c>
      <c r="AI4" s="223">
        <v>1</v>
      </c>
      <c r="AJ4" s="223">
        <v>1.2</v>
      </c>
      <c r="AK4" s="285" t="s">
        <v>410</v>
      </c>
      <c r="AL4" s="285" t="s">
        <v>386</v>
      </c>
    </row>
    <row r="5" spans="2:38" ht="15.75" customHeight="1" x14ac:dyDescent="0.3">
      <c r="B5" s="416"/>
      <c r="C5" s="417"/>
      <c r="D5" s="417"/>
      <c r="E5" s="417"/>
      <c r="F5" s="417"/>
      <c r="G5" s="418"/>
      <c r="I5" s="231"/>
      <c r="J5" s="408" t="s">
        <v>220</v>
      </c>
      <c r="K5" s="410" t="s">
        <v>221</v>
      </c>
      <c r="L5" s="413" t="s">
        <v>222</v>
      </c>
      <c r="M5" s="232"/>
      <c r="O5" s="309"/>
      <c r="P5" s="316"/>
      <c r="Q5" s="317"/>
      <c r="R5" s="317"/>
      <c r="S5" s="314"/>
      <c r="T5" s="237"/>
      <c r="X5" s="220"/>
      <c r="Y5" s="267" t="s">
        <v>323</v>
      </c>
      <c r="Z5" s="221"/>
      <c r="AA5" s="221"/>
      <c r="AC5" s="222" t="s">
        <v>51</v>
      </c>
      <c r="AD5" s="261">
        <v>13</v>
      </c>
      <c r="AE5" s="224">
        <v>8</v>
      </c>
      <c r="AF5" s="223">
        <v>1</v>
      </c>
      <c r="AG5" s="223">
        <v>1</v>
      </c>
      <c r="AH5" s="223">
        <v>0</v>
      </c>
      <c r="AI5" s="223">
        <v>1</v>
      </c>
      <c r="AJ5" s="223">
        <v>1.1000000000000001</v>
      </c>
      <c r="AK5" s="285" t="s">
        <v>411</v>
      </c>
      <c r="AL5" s="285" t="s">
        <v>387</v>
      </c>
    </row>
    <row r="6" spans="2:38" ht="15.75" customHeight="1" x14ac:dyDescent="0.3">
      <c r="B6" s="233"/>
      <c r="C6" s="234"/>
      <c r="D6" s="234"/>
      <c r="E6" s="234"/>
      <c r="F6" s="234"/>
      <c r="G6" s="235"/>
      <c r="I6" s="236"/>
      <c r="J6" s="408"/>
      <c r="K6" s="411"/>
      <c r="L6" s="414"/>
      <c r="M6" s="237"/>
      <c r="O6" s="293"/>
      <c r="P6" s="310"/>
      <c r="Q6" s="325" t="s">
        <v>368</v>
      </c>
      <c r="R6" s="326" t="s">
        <v>361</v>
      </c>
      <c r="S6" s="315"/>
      <c r="T6" s="237"/>
      <c r="X6" s="264" t="s">
        <v>332</v>
      </c>
      <c r="Y6" s="227">
        <f>IF($E$4="",0,IF($E$8="",0,IF($E$12="",0,SUM($Y$7:$Y$18))))</f>
        <v>0</v>
      </c>
      <c r="Z6" s="221"/>
      <c r="AA6" s="221"/>
      <c r="AC6" s="222" t="s">
        <v>52</v>
      </c>
      <c r="AD6" s="261">
        <v>18</v>
      </c>
      <c r="AE6" s="224">
        <v>6</v>
      </c>
      <c r="AF6" s="223">
        <v>1</v>
      </c>
      <c r="AG6" s="223">
        <v>1</v>
      </c>
      <c r="AH6" s="223">
        <v>0.08</v>
      </c>
      <c r="AI6" s="223">
        <v>0.9</v>
      </c>
      <c r="AJ6" s="223">
        <v>1.2</v>
      </c>
      <c r="AK6" s="285" t="s">
        <v>412</v>
      </c>
      <c r="AL6" s="285" t="s">
        <v>388</v>
      </c>
    </row>
    <row r="7" spans="2:38" ht="15.75" customHeight="1" x14ac:dyDescent="0.3">
      <c r="B7" s="228"/>
      <c r="C7" s="230"/>
      <c r="D7" s="230"/>
      <c r="E7" s="230"/>
      <c r="F7" s="230"/>
      <c r="G7" s="152"/>
      <c r="I7" s="236"/>
      <c r="J7" s="409"/>
      <c r="K7" s="412"/>
      <c r="L7" s="415"/>
      <c r="M7" s="237"/>
      <c r="O7" s="294"/>
      <c r="P7" s="439" t="s">
        <v>423</v>
      </c>
      <c r="Q7" s="318" t="s">
        <v>354</v>
      </c>
      <c r="R7" s="318" t="s">
        <v>355</v>
      </c>
      <c r="S7" s="315"/>
      <c r="T7" s="237"/>
      <c r="X7" s="238" t="s">
        <v>223</v>
      </c>
      <c r="Y7" s="239">
        <f>IF($E$4="",0,VLOOKUP($E$4,$AC$1:$AE$16,2))</f>
        <v>0</v>
      </c>
      <c r="Z7" s="221"/>
      <c r="AA7" s="221"/>
      <c r="AC7" s="222" t="s">
        <v>53</v>
      </c>
      <c r="AD7" s="261">
        <v>17</v>
      </c>
      <c r="AE7" s="224">
        <v>8</v>
      </c>
      <c r="AF7" s="223">
        <v>1</v>
      </c>
      <c r="AG7" s="223">
        <v>1</v>
      </c>
      <c r="AH7" s="223">
        <v>0.08</v>
      </c>
      <c r="AI7" s="223">
        <v>1</v>
      </c>
      <c r="AJ7" s="223">
        <v>1.2</v>
      </c>
      <c r="AK7" s="285" t="s">
        <v>413</v>
      </c>
      <c r="AL7" s="285" t="s">
        <v>389</v>
      </c>
    </row>
    <row r="8" spans="2:38" ht="15.75" customHeight="1" x14ac:dyDescent="0.3">
      <c r="B8" s="228"/>
      <c r="C8" s="283" t="s">
        <v>224</v>
      </c>
      <c r="D8" s="230"/>
      <c r="E8" s="282"/>
      <c r="F8" s="230"/>
      <c r="G8" s="152"/>
      <c r="I8" s="236"/>
      <c r="J8" s="419" t="str">
        <f>IF($E$12="","",IF($Y$6=0,"",IF(AA$3=0,"",IF(AA27&gt;=0.97,"Near Certainty",IF(AA27&gt;=0.9,"Promising",IF(AA27&gt;=0.75,"Good",IF(AA27&gt;=0.6,"Decent",IF(AA27&gt;=0.45,"Iffy",IF(AA27&gt;=0.3,"Unlikely",IF(AA27&gt;=0.15,"Slight","Suicide Mission"))))))))))</f>
        <v/>
      </c>
      <c r="K8" s="419" t="str">
        <f>IF($E$12="","",IF($Y$6=0,"",IF(Z$3=0,"",IF(Z27&gt;=0.97,"Near Certainty",IF(Z27&gt;=0.9,"Promising",IF(Z27&gt;=0.75,"Good",IF(Z27&gt;=0.6,"Decent",IF(Z27&gt;=0.45,"Iffy",IF(Z27&gt;=0.3,"Unlikely",IF(Z27&gt;=0.15,"Slight","Suicide Mission"))))))))))</f>
        <v/>
      </c>
      <c r="L8" s="419" t="str">
        <f>IF($E$12="","",IF($Y$6=0,"",IF(Y$3=0,"",IF(Y27&gt;=0.97,"Near Certainty",IF(Y27&gt;=0.9,"Promising",IF(Y27&gt;=0.75,"Good",IF(Y27&gt;=0.6,"Decent",IF(Y27&gt;=0.45,"Iffy",IF(Y27&gt;=0.3,"Unlikely",IF(Y27&gt;=0.15,"Slight","Suicide Mission"))))))))))</f>
        <v/>
      </c>
      <c r="M8" s="237"/>
      <c r="O8" s="294"/>
      <c r="P8" s="439"/>
      <c r="Q8" s="319" t="s">
        <v>353</v>
      </c>
      <c r="R8" s="319" t="s">
        <v>349</v>
      </c>
      <c r="S8" s="315"/>
      <c r="T8" s="237"/>
      <c r="X8" s="238" t="s">
        <v>225</v>
      </c>
      <c r="Y8" s="239">
        <f>IF($E$4="",0,IF($E18="",0,((VLOOKUP($E18,$AC$27:$AG$36,2))*(VLOOKUP($E$4,$AC$2:$AG$16,4)))))</f>
        <v>0</v>
      </c>
      <c r="Z8" s="221"/>
      <c r="AA8" s="221"/>
      <c r="AC8" s="222" t="s">
        <v>54</v>
      </c>
      <c r="AD8" s="261">
        <v>12</v>
      </c>
      <c r="AE8" s="224">
        <v>6</v>
      </c>
      <c r="AF8" s="223">
        <v>1</v>
      </c>
      <c r="AG8" s="223">
        <v>1</v>
      </c>
      <c r="AH8" s="223">
        <v>0.05</v>
      </c>
      <c r="AI8" s="223">
        <v>0.75</v>
      </c>
      <c r="AJ8" s="223">
        <v>1</v>
      </c>
      <c r="AK8" s="285" t="s">
        <v>407</v>
      </c>
      <c r="AL8" s="285" t="s">
        <v>390</v>
      </c>
    </row>
    <row r="9" spans="2:38" ht="15.75" customHeight="1" x14ac:dyDescent="0.3">
      <c r="B9" s="240"/>
      <c r="C9" s="241"/>
      <c r="D9" s="230"/>
      <c r="E9" s="230"/>
      <c r="F9" s="230"/>
      <c r="G9" s="152"/>
      <c r="I9" s="236"/>
      <c r="J9" s="419"/>
      <c r="K9" s="419"/>
      <c r="L9" s="419"/>
      <c r="M9" s="237"/>
      <c r="O9" s="294"/>
      <c r="P9" s="439"/>
      <c r="Q9" s="320" t="s">
        <v>352</v>
      </c>
      <c r="R9" s="320" t="s">
        <v>356</v>
      </c>
      <c r="S9" s="315"/>
      <c r="T9" s="237"/>
      <c r="X9" s="238" t="s">
        <v>226</v>
      </c>
      <c r="Y9" s="239">
        <f>IF($E$4="",0,IF($E19="",0,((VLOOKUP($E19,$AC$27:$AG$36,2))*(VLOOKUP($E$4,$AC$2:$AG$16,4)))))</f>
        <v>0</v>
      </c>
      <c r="Z9" s="221"/>
      <c r="AA9" s="221"/>
      <c r="AC9" s="222" t="s">
        <v>55</v>
      </c>
      <c r="AD9" s="261">
        <v>13</v>
      </c>
      <c r="AE9" s="224">
        <v>8</v>
      </c>
      <c r="AF9" s="223">
        <v>1</v>
      </c>
      <c r="AG9" s="223">
        <v>1</v>
      </c>
      <c r="AH9" s="223">
        <v>0</v>
      </c>
      <c r="AI9" s="223">
        <v>1</v>
      </c>
      <c r="AJ9" s="223">
        <v>1</v>
      </c>
      <c r="AK9" s="286" t="s">
        <v>408</v>
      </c>
      <c r="AL9" s="286" t="s">
        <v>391</v>
      </c>
    </row>
    <row r="10" spans="2:38" ht="15.75" customHeight="1" thickBot="1" x14ac:dyDescent="0.35">
      <c r="B10" s="233"/>
      <c r="C10" s="242"/>
      <c r="D10" s="234"/>
      <c r="E10" s="243"/>
      <c r="F10" s="234"/>
      <c r="G10" s="235"/>
      <c r="I10" s="244"/>
      <c r="J10" s="245"/>
      <c r="K10" s="245"/>
      <c r="L10" s="245"/>
      <c r="M10" s="246"/>
      <c r="O10" s="294"/>
      <c r="P10" s="439"/>
      <c r="Q10" s="321" t="s">
        <v>351</v>
      </c>
      <c r="R10" s="321" t="s">
        <v>357</v>
      </c>
      <c r="S10" s="315"/>
      <c r="T10" s="237"/>
      <c r="X10" s="238" t="s">
        <v>227</v>
      </c>
      <c r="Y10" s="239">
        <f>IF($E$4="",0,IF($E20="",0,((VLOOKUP($E20,$AC$27:$AG$36,2))*(VLOOKUP($E$4,$AC$2:$AG$16,4)))))</f>
        <v>0</v>
      </c>
      <c r="Z10" s="221"/>
      <c r="AA10" s="221"/>
      <c r="AC10" s="222" t="s">
        <v>60</v>
      </c>
      <c r="AD10" s="261">
        <v>21</v>
      </c>
      <c r="AE10" s="224">
        <v>8</v>
      </c>
      <c r="AF10" s="223">
        <v>1</v>
      </c>
      <c r="AG10" s="223">
        <v>1</v>
      </c>
      <c r="AH10" s="223">
        <v>0.1</v>
      </c>
      <c r="AI10" s="223">
        <v>0.9</v>
      </c>
      <c r="AJ10" s="223">
        <v>1.2</v>
      </c>
      <c r="AK10" s="285" t="s">
        <v>414</v>
      </c>
      <c r="AL10" s="285" t="s">
        <v>392</v>
      </c>
    </row>
    <row r="11" spans="2:38" ht="15.75" customHeight="1" thickTop="1" x14ac:dyDescent="0.3">
      <c r="B11" s="228"/>
      <c r="C11" s="241"/>
      <c r="D11" s="230"/>
      <c r="E11" s="247"/>
      <c r="F11" s="230"/>
      <c r="G11" s="152"/>
      <c r="I11" s="402" t="s">
        <v>334</v>
      </c>
      <c r="J11" s="403"/>
      <c r="K11" s="403"/>
      <c r="L11" s="403"/>
      <c r="M11" s="404"/>
      <c r="O11" s="294"/>
      <c r="P11" s="439"/>
      <c r="Q11" s="322" t="s">
        <v>350</v>
      </c>
      <c r="R11" s="322" t="s">
        <v>358</v>
      </c>
      <c r="S11" s="315"/>
      <c r="T11" s="237"/>
      <c r="X11" s="238" t="s">
        <v>228</v>
      </c>
      <c r="Y11" s="239">
        <f>(IF($E$4="",0,VLOOKUP($E$4,$AC$2:$AG$16,3)))*(IF($E25="",0,VLOOKUP($E25,$AC$39:$AE$54,2)))*(IF($F25="Yes",0.5,1))*(IF($E$4="",0,VLOOKUP($E$4,$AC$2:$AG$16,4)))</f>
        <v>0</v>
      </c>
      <c r="Z11" s="221"/>
      <c r="AA11" s="221"/>
      <c r="AC11" s="222" t="s">
        <v>61</v>
      </c>
      <c r="AD11" s="261">
        <v>8</v>
      </c>
      <c r="AE11" s="224">
        <v>6</v>
      </c>
      <c r="AF11" s="223">
        <v>1</v>
      </c>
      <c r="AG11" s="223">
        <v>0</v>
      </c>
      <c r="AH11" s="223">
        <v>0.03</v>
      </c>
      <c r="AI11" s="223">
        <v>0.65</v>
      </c>
      <c r="AJ11" s="223">
        <v>1</v>
      </c>
      <c r="AK11" s="285" t="s">
        <v>404</v>
      </c>
      <c r="AL11" s="285" t="s">
        <v>393</v>
      </c>
    </row>
    <row r="12" spans="2:38" ht="15.75" customHeight="1" x14ac:dyDescent="0.3">
      <c r="B12" s="228"/>
      <c r="C12" s="283" t="s">
        <v>229</v>
      </c>
      <c r="D12" s="230"/>
      <c r="E12" s="282"/>
      <c r="F12" s="230"/>
      <c r="G12" s="152"/>
      <c r="I12" s="405"/>
      <c r="J12" s="406"/>
      <c r="K12" s="406"/>
      <c r="L12" s="406"/>
      <c r="M12" s="407"/>
      <c r="O12" s="294"/>
      <c r="P12" s="439"/>
      <c r="Q12" s="323" t="s">
        <v>349</v>
      </c>
      <c r="R12" s="323" t="s">
        <v>359</v>
      </c>
      <c r="S12" s="315"/>
      <c r="T12" s="237"/>
      <c r="X12" s="238" t="s">
        <v>230</v>
      </c>
      <c r="Y12" s="239">
        <f>(IF($E$4="",0,VLOOKUP($E$4,$AC$2:$AG$16,3)))*(IF($E26="",0,VLOOKUP($E26,$AC$39:$AE$54,2)))*(IF($F26="Yes",0.5,1))*(IF($E$4="",0,VLOOKUP($E$4,$AC$2:$AG$16,4)))</f>
        <v>0</v>
      </c>
      <c r="Z12" s="221"/>
      <c r="AA12" s="221"/>
      <c r="AC12" s="222" t="s">
        <v>62</v>
      </c>
      <c r="AD12" s="261">
        <v>11</v>
      </c>
      <c r="AE12" s="224">
        <v>10</v>
      </c>
      <c r="AF12" s="223">
        <v>1</v>
      </c>
      <c r="AG12" s="223">
        <v>1</v>
      </c>
      <c r="AH12" s="223">
        <v>0</v>
      </c>
      <c r="AI12" s="223">
        <v>1</v>
      </c>
      <c r="AJ12" s="223">
        <v>1</v>
      </c>
      <c r="AK12" s="285" t="s">
        <v>376</v>
      </c>
      <c r="AL12" s="285" t="s">
        <v>394</v>
      </c>
    </row>
    <row r="13" spans="2:38" ht="15.75" customHeight="1" x14ac:dyDescent="0.3">
      <c r="B13" s="228"/>
      <c r="C13" s="229"/>
      <c r="D13" s="230"/>
      <c r="E13" s="230"/>
      <c r="F13" s="230"/>
      <c r="G13" s="152"/>
      <c r="I13" s="236"/>
      <c r="J13" s="248"/>
      <c r="K13" s="420" t="s">
        <v>231</v>
      </c>
      <c r="L13" s="420" t="s">
        <v>232</v>
      </c>
      <c r="M13" s="237"/>
      <c r="O13" s="294"/>
      <c r="P13" s="439"/>
      <c r="Q13" s="324" t="s">
        <v>348</v>
      </c>
      <c r="R13" s="324" t="s">
        <v>360</v>
      </c>
      <c r="S13" s="315"/>
      <c r="T13" s="237"/>
      <c r="X13" s="238" t="s">
        <v>233</v>
      </c>
      <c r="Y13" s="239">
        <f>(IF($E$4="",0,VLOOKUP($E$4,$AC$2:$AG$16,3)))*(IF($E27="",0,VLOOKUP($E27,$AC$39:$AE$54,2)))*(IF($F27="Yes",0.5,1))*(IF($E$4="",0,VLOOKUP($E$4,$AC$2:$AG$16,4)))</f>
        <v>0</v>
      </c>
      <c r="Z13" s="221"/>
      <c r="AA13" s="221"/>
      <c r="AC13" s="222" t="s">
        <v>56</v>
      </c>
      <c r="AD13" s="261">
        <v>12</v>
      </c>
      <c r="AE13" s="224">
        <v>6</v>
      </c>
      <c r="AF13" s="223">
        <v>1</v>
      </c>
      <c r="AG13" s="223">
        <v>1</v>
      </c>
      <c r="AH13" s="223">
        <v>0.03</v>
      </c>
      <c r="AI13" s="223">
        <v>1</v>
      </c>
      <c r="AJ13" s="223">
        <v>1</v>
      </c>
      <c r="AK13" s="285" t="s">
        <v>377</v>
      </c>
      <c r="AL13" s="285" t="s">
        <v>395</v>
      </c>
    </row>
    <row r="14" spans="2:38" ht="15.75" customHeight="1" x14ac:dyDescent="0.3">
      <c r="B14" s="233"/>
      <c r="C14" s="234"/>
      <c r="D14" s="234"/>
      <c r="E14" s="234"/>
      <c r="F14" s="234"/>
      <c r="G14" s="235"/>
      <c r="I14" s="236"/>
      <c r="J14" s="248"/>
      <c r="K14" s="420"/>
      <c r="L14" s="420"/>
      <c r="M14" s="237"/>
      <c r="O14" s="294"/>
      <c r="P14" s="439"/>
      <c r="Q14" s="327" t="s">
        <v>347</v>
      </c>
      <c r="R14" s="327" t="s">
        <v>347</v>
      </c>
      <c r="S14" s="315"/>
      <c r="T14" s="237"/>
      <c r="X14" s="238" t="s">
        <v>234</v>
      </c>
      <c r="Y14" s="239">
        <f>(IF($E32="",0,VLOOKUP($E32,$AG$39:$AH$41,2)))*(IF($E$4="",0,VLOOKUP($E$4,$AC$2:$AG$16,5)))</f>
        <v>0</v>
      </c>
      <c r="Z14" s="221"/>
      <c r="AA14" s="221"/>
      <c r="AC14" s="222" t="s">
        <v>59</v>
      </c>
      <c r="AD14" s="261">
        <v>10</v>
      </c>
      <c r="AE14" s="224">
        <v>6</v>
      </c>
      <c r="AF14" s="223">
        <v>1</v>
      </c>
      <c r="AG14" s="223">
        <v>1</v>
      </c>
      <c r="AH14" s="223">
        <v>0</v>
      </c>
      <c r="AI14" s="223">
        <v>1</v>
      </c>
      <c r="AJ14" s="223">
        <v>1.1000000000000001</v>
      </c>
      <c r="AK14" s="285" t="s">
        <v>415</v>
      </c>
      <c r="AL14" s="285" t="s">
        <v>396</v>
      </c>
    </row>
    <row r="15" spans="2:38" ht="15.75" customHeight="1" x14ac:dyDescent="0.3">
      <c r="B15" s="228"/>
      <c r="C15" s="241"/>
      <c r="D15" s="230"/>
      <c r="E15" s="247"/>
      <c r="F15" s="230"/>
      <c r="G15" s="152"/>
      <c r="I15" s="236"/>
      <c r="J15" s="248"/>
      <c r="K15" s="421"/>
      <c r="L15" s="421"/>
      <c r="M15" s="237"/>
      <c r="O15" s="294"/>
      <c r="P15" s="440" t="s">
        <v>504</v>
      </c>
      <c r="Q15" s="308"/>
      <c r="R15" s="308"/>
      <c r="S15" s="315"/>
      <c r="T15" s="237"/>
      <c r="X15" s="238" t="s">
        <v>235</v>
      </c>
      <c r="Y15" s="239">
        <f>(IF($E33="",0,VLOOKUP($E33,$AG$39:$AH$41,2)))*(IF($E$4="",0,VLOOKUP($E$4,$AC$2:$AG$16,5)))</f>
        <v>0</v>
      </c>
      <c r="Z15" s="221"/>
      <c r="AA15" s="221"/>
      <c r="AC15" s="222" t="s">
        <v>57</v>
      </c>
      <c r="AD15" s="261">
        <v>13</v>
      </c>
      <c r="AE15" s="224">
        <v>10</v>
      </c>
      <c r="AF15" s="223">
        <v>1</v>
      </c>
      <c r="AG15" s="223">
        <v>1</v>
      </c>
      <c r="AH15" s="223">
        <v>0</v>
      </c>
      <c r="AI15" s="223">
        <v>1</v>
      </c>
      <c r="AJ15" s="223">
        <v>1</v>
      </c>
      <c r="AK15" s="285" t="s">
        <v>378</v>
      </c>
      <c r="AL15" s="285" t="s">
        <v>397</v>
      </c>
    </row>
    <row r="16" spans="2:38" ht="15.75" customHeight="1" x14ac:dyDescent="0.3">
      <c r="B16" s="228"/>
      <c r="C16" s="230"/>
      <c r="D16" s="230"/>
      <c r="E16" s="422" t="s">
        <v>236</v>
      </c>
      <c r="F16" s="422" t="s">
        <v>237</v>
      </c>
      <c r="G16" s="152"/>
      <c r="I16" s="236"/>
      <c r="J16" s="249" t="str">
        <f>IF($E18="","Leader #1 ()","Leader #1 (" &amp; $E18 &amp; ")")</f>
        <v>Leader #1 ()</v>
      </c>
      <c r="K16" s="250" t="str">
        <f>IF($E$12="","",IF($Y$6=0,"",IF($Z$3=0,"",IF($E18="","",IF($F18="Yes","Near Invulnerable",IF($Y30&gt;=0.9,"Suicide Mission",IF($Y30&gt;=0.75,"Survival Doubtful",IF($Y30&gt;=0.6,"Will Need Some Luck",IF($Y30&gt;=0.45,"Dangerous",IF($Y30&gt;=0.3,"Risky",IF($Y30&gt;=0.15,"At Some Risk",IF($Y30&gt;=0.03,"Unlikely","Near Invulnerable"))))))))))))</f>
        <v/>
      </c>
      <c r="L16" s="250" t="str">
        <f>IF($E$12="","",IF($Y$6=0,"",IF($Z$3=0,"",IF($E18="","",IF($F18="Yes","Near Invulnerable",IF($Z30&gt;=0.9,"Suicide Mission",IF($Z30&gt;=0.75,"Survival Doubtful",IF($Z30&gt;=0.6,"Will Need Some Luck",IF($Z30&gt;=0.45,"Dangerous",IF($Z30&gt;=0.3,"Risky",IF($Z30&gt;=0.15,"At Some Risk",IF($Z30&gt;=0.03,"Unlikely","Near Invulnerable"))))))))))))</f>
        <v/>
      </c>
      <c r="M16" s="237"/>
      <c r="O16" s="294"/>
      <c r="P16" s="440"/>
      <c r="Q16" s="325" t="s">
        <v>416</v>
      </c>
      <c r="R16" s="326" t="s">
        <v>406</v>
      </c>
      <c r="S16" s="315"/>
      <c r="T16" s="237"/>
      <c r="X16" s="238" t="s">
        <v>238</v>
      </c>
      <c r="Y16" s="239">
        <f>(IF($E34="",0,VLOOKUP($E34,$AG$39:$AH$41,2)))*(IF($E$4="",0,VLOOKUP($E$4,$AC$2:$AG$16,5)))</f>
        <v>0</v>
      </c>
      <c r="Z16" s="221"/>
      <c r="AA16" s="221"/>
      <c r="AC16" s="222" t="s">
        <v>58</v>
      </c>
      <c r="AD16" s="261">
        <v>15</v>
      </c>
      <c r="AE16" s="224">
        <v>10</v>
      </c>
      <c r="AF16" s="223">
        <v>1</v>
      </c>
      <c r="AG16" s="223">
        <v>1</v>
      </c>
      <c r="AH16" s="223">
        <v>0.03</v>
      </c>
      <c r="AI16" s="223">
        <v>1</v>
      </c>
      <c r="AJ16" s="223">
        <v>1</v>
      </c>
      <c r="AK16" s="285" t="s">
        <v>405</v>
      </c>
      <c r="AL16" s="285" t="s">
        <v>398</v>
      </c>
    </row>
    <row r="17" spans="2:37" ht="15.75" customHeight="1" x14ac:dyDescent="0.3">
      <c r="B17" s="228"/>
      <c r="C17" s="230"/>
      <c r="D17" s="230"/>
      <c r="E17" s="423"/>
      <c r="F17" s="423"/>
      <c r="G17" s="152"/>
      <c r="I17" s="236"/>
      <c r="J17" s="249" t="str">
        <f>IF($E19="","Leader #2 ()","Leader #2 (" &amp; $E19 &amp; ")")</f>
        <v>Leader #2 ()</v>
      </c>
      <c r="K17" s="250" t="str">
        <f>IF($E$12="","",IF($Y$6=0,"",IF($Z$3=0,"",IF($E19="","",IF($F19="Yes","Near Invulnerable",IF($Y31&gt;=0.9,"Suicide Mission",IF($Y31&gt;=0.75,"Survival Doubtful",IF($Y31&gt;=0.6,"Will Need Some Luck",IF($Y31&gt;=0.45,"Dangerous",IF($Y31&gt;=0.3,"Risky",IF($Y31&gt;=0.15,"At Some Risk",IF($Y31&gt;=0.03,"Unlikely","Near Invulnerable"))))))))))))</f>
        <v/>
      </c>
      <c r="L17" s="250" t="str">
        <f>IF($E$12="","",IF($Y$6=0,"",IF($Z$3=0,"",IF($E19="","",IF($F19="Yes","Near Invulnerable",IF($Z31&gt;=0.9,"Suicide Mission",IF($Z31&gt;=0.75,"Survival Doubtful",IF($Z31&gt;=0.6,"Will Need Some Luck",IF($Z31&gt;=0.45,"Dangerous",IF($Z31&gt;=0.3,"Risky",IF($Z31&gt;=0.15,"At Some Risk",IF($Z31&gt;=0.03,"Unlikely","Near Invulnerable"))))))))))))</f>
        <v/>
      </c>
      <c r="M17" s="237"/>
      <c r="O17" s="294"/>
      <c r="P17" s="440"/>
      <c r="Q17" s="318" t="s">
        <v>367</v>
      </c>
      <c r="R17" s="318" t="s">
        <v>374</v>
      </c>
      <c r="S17" s="315"/>
      <c r="T17" s="237"/>
      <c r="X17" s="238" t="s">
        <v>239</v>
      </c>
      <c r="Y17" s="239">
        <f>(IF($E35="",0,VLOOKUP($E35,$AG$39:$AH$41,2)))*(IF($E$4="",0,VLOOKUP($E$4,$AC$2:$AG$16,5)))</f>
        <v>0</v>
      </c>
      <c r="Z17" s="221"/>
      <c r="AA17" s="221"/>
    </row>
    <row r="18" spans="2:37" ht="15.75" customHeight="1" x14ac:dyDescent="0.3">
      <c r="B18" s="228"/>
      <c r="C18" s="283" t="s">
        <v>240</v>
      </c>
      <c r="D18" s="251" t="s">
        <v>241</v>
      </c>
      <c r="E18" s="282"/>
      <c r="F18" s="282"/>
      <c r="G18" s="152"/>
      <c r="I18" s="236"/>
      <c r="J18" s="249" t="str">
        <f>IF($E20="","Leader #3 ()","Leader #3 (" &amp; $E20 &amp; ")")</f>
        <v>Leader #3 ()</v>
      </c>
      <c r="K18" s="250" t="str">
        <f>IF($E$12="","",IF($Y$6=0,"",IF($Z$3=0,"",IF($E20="","",IF($F20="Yes","Near Invulnerable",IF($Y32&gt;=0.9,"Suicide Mission",IF($Y32&gt;=0.75,"Survival Doubtful",IF($Y32&gt;=0.6,"Will Need Some Luck",IF($Y32&gt;=0.45,"Dangerous",IF($Y32&gt;=0.3,"Risky",IF($Y32&gt;=0.15,"At Some Risk",IF($Y32&gt;=0.03,"Unlikely","Near Invulnerable"))))))))))))</f>
        <v/>
      </c>
      <c r="L18" s="250" t="str">
        <f>IF($E$12="","",IF($Y$6=0,"",IF($Z$3=0,"",IF($E20="","",IF($F20="Yes","Near Invulnerable",IF($Z32&gt;=0.9,"Suicide Mission",IF($Z32&gt;=0.75,"Survival Doubtful",IF($Z32&gt;=0.6,"Will Need Some Luck",IF($Z32&gt;=0.45,"Dangerous",IF($Z32&gt;=0.3,"Risky",IF($Z32&gt;=0.15,"At Some Risk",IF($Z32&gt;=0.03,"Unlikely","Near Invulnerable"))))))))))))</f>
        <v/>
      </c>
      <c r="M18" s="237"/>
      <c r="O18" s="294"/>
      <c r="P18" s="440"/>
      <c r="Q18" s="319" t="s">
        <v>366</v>
      </c>
      <c r="R18" s="319" t="s">
        <v>373</v>
      </c>
      <c r="S18" s="315"/>
      <c r="T18" s="237"/>
      <c r="X18" s="238" t="s">
        <v>242</v>
      </c>
      <c r="Y18" s="239">
        <f>(IF($E36="",0,VLOOKUP($E36,$AG$39:$AH$41,2)))*(IF($E$4="",0,VLOOKUP($E$4,$AC$2:$AG$16,5)))</f>
        <v>0</v>
      </c>
      <c r="Z18" s="221"/>
      <c r="AA18" s="221"/>
      <c r="AC18" s="216" t="s">
        <v>243</v>
      </c>
      <c r="AD18" s="216" t="s">
        <v>314</v>
      </c>
      <c r="AE18" s="216" t="s">
        <v>313</v>
      </c>
      <c r="AF18" s="297" t="s">
        <v>383</v>
      </c>
      <c r="AG18" s="298"/>
      <c r="AH18" s="298"/>
      <c r="AI18" s="298"/>
      <c r="AJ18" s="298"/>
      <c r="AK18" s="299"/>
    </row>
    <row r="19" spans="2:37" ht="15.75" customHeight="1" x14ac:dyDescent="0.3">
      <c r="B19" s="228"/>
      <c r="C19" s="284" t="s">
        <v>244</v>
      </c>
      <c r="D19" s="251" t="s">
        <v>245</v>
      </c>
      <c r="E19" s="282"/>
      <c r="F19" s="282"/>
      <c r="G19" s="152"/>
      <c r="I19" s="236"/>
      <c r="J19" s="249" t="str">
        <f>IF($E25="","Wizard #1 ()","Wizard #1 (" &amp; $E25 &amp; ")")</f>
        <v>Wizard #1 ()</v>
      </c>
      <c r="K19" s="250" t="str">
        <f>IF($E$12="","",IF($Y$6=0,"",IF($Z$3=0,"",IF($E25="","",IF($F25="Yes","Near Invulnerable",IF($Y33&gt;=0.9,"Suicide Mission",IF($Y33&gt;=0.75,"Survival Doubtful",IF($Y33&gt;=0.6,"Will Need Some Luck",IF($Y33&gt;=0.45,"Dangerous",IF($Y33&gt;=0.3,"Risky",IF($Y33&gt;=0.15,"At Some Risk",IF($Y33&gt;=0.03,"Unlikely","Near Invulnerable"))))))))))))</f>
        <v/>
      </c>
      <c r="L19" s="250" t="str">
        <f>IF($E$12="","",IF($Y$6=0,"",IF($Z$3=0,"",IF($E25="","",IF($F25="Yes","Near Invulnerable",IF($Z33&gt;=0.9,"Suicide Mission",IF($Z33&gt;=0.75,"Survival Doubtful",IF($Z33&gt;=0.6,"Will Need Some Luck",IF($Z33&gt;=0.45,"Dangerous",IF($Z33&gt;=0.3,"Risky",IF($Z33&gt;=0.15,"At Some Risk",IF($Z33&gt;=0.03,"Unlikely","Near Invulnerable"))))))))))))</f>
        <v/>
      </c>
      <c r="M19" s="237"/>
      <c r="O19" s="294"/>
      <c r="P19" s="440"/>
      <c r="Q19" s="320" t="s">
        <v>365</v>
      </c>
      <c r="R19" s="320" t="s">
        <v>365</v>
      </c>
      <c r="S19" s="315"/>
      <c r="T19" s="237"/>
      <c r="X19" s="238"/>
      <c r="Y19" s="239"/>
      <c r="Z19" s="221"/>
      <c r="AA19" s="221"/>
      <c r="AC19" s="252" t="s">
        <v>246</v>
      </c>
      <c r="AD19" s="253">
        <v>0</v>
      </c>
      <c r="AE19" s="253">
        <v>0</v>
      </c>
      <c r="AF19" s="303" t="s">
        <v>503</v>
      </c>
      <c r="AG19" s="304"/>
      <c r="AH19" s="304"/>
      <c r="AI19" s="304"/>
      <c r="AJ19" s="304"/>
      <c r="AK19" s="305"/>
    </row>
    <row r="20" spans="2:37" ht="15.75" customHeight="1" x14ac:dyDescent="0.3">
      <c r="B20" s="228"/>
      <c r="C20" s="284" t="s">
        <v>247</v>
      </c>
      <c r="D20" s="251" t="s">
        <v>248</v>
      </c>
      <c r="E20" s="282"/>
      <c r="F20" s="282"/>
      <c r="G20" s="152"/>
      <c r="I20" s="236"/>
      <c r="J20" s="249" t="str">
        <f>IF($E26="","Wizard #2 ()","Wizard #2 (" &amp; $E26 &amp; ")")</f>
        <v>Wizard #2 ()</v>
      </c>
      <c r="K20" s="250" t="str">
        <f>IF($E$12="","",IF($Y$6=0,"",IF($Z$3=0,"",IF($E26="","",IF($F26="Yes","Near Invulnerable",IF($Y34&gt;=0.9,"Suicide Mission",IF($Y34&gt;=0.75,"Survival Doubtful",IF($Y34&gt;=0.6,"Will Need Some Luck",IF($Y34&gt;=0.45,"Dangerous",IF($Y34&gt;=0.3,"Risky",IF($Y34&gt;=0.15,"At Some Risk",IF($Y34&gt;=0.03,"Unlikely","Near Invulnerable"))))))))))))</f>
        <v/>
      </c>
      <c r="L20" s="250" t="str">
        <f>IF($E$12="","",IF($Y$6=0,"",IF($Z$3=0,"",IF($E26="","",IF($F26="Yes","Near Invulnerable",IF($Z34&gt;=0.9,"Suicide Mission",IF($Z34&gt;=0.75,"Survival Doubtful",IF($Z34&gt;=0.6,"Will Need Some Luck",IF($Z34&gt;=0.45,"Dangerous",IF($Z34&gt;=0.3,"Risky",IF($Z34&gt;=0.15,"At Some Risk",IF($Z34&gt;=0.03,"Unlikely","Near Invulnerable"))))))))))))</f>
        <v/>
      </c>
      <c r="M20" s="237"/>
      <c r="O20" s="294"/>
      <c r="P20" s="440"/>
      <c r="Q20" s="321" t="s">
        <v>364</v>
      </c>
      <c r="R20" s="321" t="s">
        <v>364</v>
      </c>
      <c r="S20" s="315"/>
      <c r="T20" s="237"/>
      <c r="X20" s="220"/>
      <c r="Y20" s="268" t="s">
        <v>319</v>
      </c>
      <c r="Z20" s="268" t="s">
        <v>321</v>
      </c>
      <c r="AA20" s="268" t="s">
        <v>320</v>
      </c>
      <c r="AC20" s="252" t="s">
        <v>249</v>
      </c>
      <c r="AD20" s="253">
        <v>20</v>
      </c>
      <c r="AE20" s="253">
        <v>40</v>
      </c>
      <c r="AF20" s="303" t="s">
        <v>399</v>
      </c>
      <c r="AG20" s="306"/>
      <c r="AH20" s="306"/>
      <c r="AI20" s="306"/>
      <c r="AJ20" s="306"/>
      <c r="AK20" s="307"/>
    </row>
    <row r="21" spans="2:37" ht="15.75" customHeight="1" x14ac:dyDescent="0.3">
      <c r="B21" s="233"/>
      <c r="C21" s="234"/>
      <c r="D21" s="234"/>
      <c r="E21" s="234"/>
      <c r="F21" s="234"/>
      <c r="G21" s="235"/>
      <c r="I21" s="236"/>
      <c r="J21" s="249" t="str">
        <f>IF($E27="","Wizard #3 ()","Wizard #3 (" &amp; $E27 &amp; ")")</f>
        <v>Wizard #3 ()</v>
      </c>
      <c r="K21" s="250" t="str">
        <f>IF($E$12="","",IF($Y$6=0,"",IF($Z$3=0,"",IF($E27="","",IF($F27="Yes","Near Invulnerable",IF($Y35&gt;=0.9,"Suicide Mission",IF($Y35&gt;=0.75,"Survival Doubtful",IF($Y35&gt;=0.6,"Will Need Some Luck",IF($Y35&gt;=0.45,"Dangerous",IF($Y35&gt;=0.3,"Risky",IF($Y35&gt;=0.15,"At Some Risk",IF($Y35&gt;=0.03,"Unlikely","Near Invulnerable"))))))))))))</f>
        <v/>
      </c>
      <c r="L21" s="250" t="str">
        <f>IF($E$12="","",IF($Y$6=0,"",IF($Z$3=0,"",IF($E27="","",IF($F27="Yes","Near Invulnerable",IF($Z35&gt;=0.9,"Suicide Mission",IF($Z35&gt;=0.75,"Survival Doubtful",IF($Z35&gt;=0.6,"Will Need Some Luck",IF($Z35&gt;=0.45,"Dangerous",IF($Z35&gt;=0.3,"Risky",IF($Z35&gt;=0.15,"At Some Risk",IF($Z35&gt;=0.03,"Unlikely","Near Invulnerable"))))))))))))</f>
        <v/>
      </c>
      <c r="M21" s="237"/>
      <c r="O21" s="294"/>
      <c r="P21" s="440"/>
      <c r="Q21" s="322" t="s">
        <v>363</v>
      </c>
      <c r="R21" s="322" t="s">
        <v>372</v>
      </c>
      <c r="S21" s="315"/>
      <c r="T21" s="237"/>
      <c r="X21" s="264" t="s">
        <v>329</v>
      </c>
      <c r="Y21" s="254">
        <f>IF(Y$3=0,0,$Y$6/Y$3)</f>
        <v>0</v>
      </c>
      <c r="Z21" s="254">
        <f t="shared" ref="Z21:AA21" si="0">IF(Z$3=0,0,$Y$6/Z$3)</f>
        <v>0</v>
      </c>
      <c r="AA21" s="254">
        <f t="shared" si="0"/>
        <v>0</v>
      </c>
      <c r="AC21" s="252" t="s">
        <v>250</v>
      </c>
      <c r="AD21" s="253">
        <v>50</v>
      </c>
      <c r="AE21" s="253">
        <v>70</v>
      </c>
      <c r="AF21" s="303" t="s">
        <v>401</v>
      </c>
      <c r="AG21" s="306"/>
      <c r="AH21" s="306"/>
      <c r="AI21" s="306"/>
      <c r="AJ21" s="306"/>
      <c r="AK21" s="307"/>
    </row>
    <row r="22" spans="2:37" ht="15.75" customHeight="1" thickBot="1" x14ac:dyDescent="0.35">
      <c r="B22" s="228"/>
      <c r="C22" s="230"/>
      <c r="D22" s="230"/>
      <c r="E22" s="230"/>
      <c r="F22" s="230"/>
      <c r="G22" s="152"/>
      <c r="I22" s="244"/>
      <c r="J22" s="245"/>
      <c r="K22" s="245"/>
      <c r="L22" s="245"/>
      <c r="M22" s="246"/>
      <c r="O22" s="294"/>
      <c r="P22" s="440"/>
      <c r="Q22" s="323" t="s">
        <v>349</v>
      </c>
      <c r="R22" s="323" t="s">
        <v>371</v>
      </c>
      <c r="S22" s="315"/>
      <c r="T22" s="237"/>
      <c r="X22" s="264"/>
      <c r="Y22" s="266"/>
      <c r="Z22" s="266"/>
      <c r="AA22" s="266"/>
      <c r="AC22" s="252" t="s">
        <v>251</v>
      </c>
      <c r="AD22" s="253">
        <v>80</v>
      </c>
      <c r="AE22" s="253">
        <v>100</v>
      </c>
      <c r="AF22" s="303" t="s">
        <v>400</v>
      </c>
      <c r="AG22" s="306"/>
      <c r="AH22" s="306"/>
      <c r="AI22" s="306"/>
      <c r="AJ22" s="306"/>
      <c r="AK22" s="307"/>
    </row>
    <row r="23" spans="2:37" ht="15.75" customHeight="1" thickTop="1" x14ac:dyDescent="0.3">
      <c r="B23" s="228"/>
      <c r="C23" s="230"/>
      <c r="D23" s="230"/>
      <c r="E23" s="424" t="s">
        <v>252</v>
      </c>
      <c r="F23" s="422" t="s">
        <v>253</v>
      </c>
      <c r="G23" s="152"/>
      <c r="I23" s="402" t="s">
        <v>421</v>
      </c>
      <c r="J23" s="403"/>
      <c r="K23" s="403"/>
      <c r="L23" s="403"/>
      <c r="M23" s="404"/>
      <c r="O23" s="294"/>
      <c r="P23" s="440"/>
      <c r="Q23" s="324" t="s">
        <v>348</v>
      </c>
      <c r="R23" s="324" t="s">
        <v>370</v>
      </c>
      <c r="S23" s="315"/>
      <c r="T23" s="237"/>
      <c r="X23" s="220"/>
      <c r="Y23" s="268" t="s">
        <v>322</v>
      </c>
      <c r="Z23" s="221"/>
      <c r="AA23" s="221"/>
      <c r="AC23" s="252" t="s">
        <v>346</v>
      </c>
      <c r="AD23" s="253">
        <v>110</v>
      </c>
      <c r="AE23" s="253">
        <v>130</v>
      </c>
      <c r="AF23" s="303" t="s">
        <v>402</v>
      </c>
      <c r="AG23" s="306"/>
      <c r="AH23" s="306"/>
      <c r="AI23" s="306"/>
      <c r="AJ23" s="306"/>
      <c r="AK23" s="307"/>
    </row>
    <row r="24" spans="2:37" ht="15.75" customHeight="1" x14ac:dyDescent="0.3">
      <c r="B24" s="228"/>
      <c r="C24" s="230"/>
      <c r="D24" s="230"/>
      <c r="E24" s="425"/>
      <c r="F24" s="423"/>
      <c r="G24" s="152"/>
      <c r="I24" s="405"/>
      <c r="J24" s="406"/>
      <c r="K24" s="406"/>
      <c r="L24" s="406"/>
      <c r="M24" s="407"/>
      <c r="O24" s="294"/>
      <c r="P24" s="440"/>
      <c r="Q24" s="327" t="s">
        <v>362</v>
      </c>
      <c r="R24" s="327" t="s">
        <v>369</v>
      </c>
      <c r="S24" s="315"/>
      <c r="T24" s="237"/>
      <c r="X24" s="264" t="s">
        <v>330</v>
      </c>
      <c r="Y24" s="254">
        <f>IF($E12="",0,VLOOKUP($E12,$AC$57:$AE$59,2))</f>
        <v>0</v>
      </c>
      <c r="Z24" s="221"/>
      <c r="AA24" s="221"/>
    </row>
    <row r="25" spans="2:37" ht="15.75" customHeight="1" x14ac:dyDescent="0.3">
      <c r="B25" s="228"/>
      <c r="C25" s="283" t="s">
        <v>254</v>
      </c>
      <c r="D25" s="251" t="s">
        <v>241</v>
      </c>
      <c r="E25" s="282"/>
      <c r="F25" s="282" t="s">
        <v>144</v>
      </c>
      <c r="G25" s="152"/>
      <c r="I25" s="236"/>
      <c r="J25" s="248"/>
      <c r="K25" s="420" t="s">
        <v>255</v>
      </c>
      <c r="L25" s="420" t="s">
        <v>256</v>
      </c>
      <c r="M25" s="237"/>
      <c r="O25" s="294"/>
      <c r="P25" s="311"/>
      <c r="Q25" s="312"/>
      <c r="R25" s="312"/>
      <c r="S25" s="313"/>
      <c r="T25" s="237"/>
      <c r="X25" s="264"/>
      <c r="Y25" s="266"/>
      <c r="Z25" s="221"/>
      <c r="AA25" s="221"/>
      <c r="AC25" s="426" t="s">
        <v>257</v>
      </c>
      <c r="AD25" s="426" t="s">
        <v>258</v>
      </c>
      <c r="AE25" s="426" t="s">
        <v>311</v>
      </c>
      <c r="AF25" s="426" t="s">
        <v>312</v>
      </c>
      <c r="AG25" s="426"/>
      <c r="AH25" s="426" t="s">
        <v>309</v>
      </c>
    </row>
    <row r="26" spans="2:37" ht="15.75" customHeight="1" thickBot="1" x14ac:dyDescent="0.35">
      <c r="B26" s="228"/>
      <c r="C26" s="284" t="s">
        <v>260</v>
      </c>
      <c r="D26" s="251" t="s">
        <v>245</v>
      </c>
      <c r="E26" s="282"/>
      <c r="F26" s="282"/>
      <c r="G26" s="152"/>
      <c r="I26" s="236"/>
      <c r="J26" s="248"/>
      <c r="K26" s="420"/>
      <c r="L26" s="420"/>
      <c r="M26" s="237"/>
      <c r="O26" s="295"/>
      <c r="P26" s="296"/>
      <c r="Q26" s="245"/>
      <c r="R26" s="245"/>
      <c r="S26" s="245"/>
      <c r="T26" s="246"/>
      <c r="X26" s="220"/>
      <c r="Y26" s="268" t="s">
        <v>319</v>
      </c>
      <c r="Z26" s="268" t="s">
        <v>321</v>
      </c>
      <c r="AA26" s="268" t="s">
        <v>320</v>
      </c>
      <c r="AC26" s="426"/>
      <c r="AD26" s="426"/>
      <c r="AE26" s="426"/>
      <c r="AF26" s="216" t="s">
        <v>262</v>
      </c>
      <c r="AG26" s="216" t="s">
        <v>263</v>
      </c>
      <c r="AH26" s="426"/>
    </row>
    <row r="27" spans="2:37" ht="15.75" customHeight="1" thickTop="1" x14ac:dyDescent="0.3">
      <c r="B27" s="228"/>
      <c r="C27" s="284" t="s">
        <v>264</v>
      </c>
      <c r="D27" s="251" t="s">
        <v>248</v>
      </c>
      <c r="E27" s="282"/>
      <c r="F27" s="282"/>
      <c r="G27" s="152"/>
      <c r="I27" s="236"/>
      <c r="J27" s="248"/>
      <c r="K27" s="421"/>
      <c r="L27" s="421"/>
      <c r="M27" s="237"/>
      <c r="O27" s="402" t="s">
        <v>418</v>
      </c>
      <c r="P27" s="403"/>
      <c r="Q27" s="403"/>
      <c r="R27" s="403"/>
      <c r="S27" s="403"/>
      <c r="T27" s="404"/>
      <c r="X27" s="264" t="s">
        <v>331</v>
      </c>
      <c r="Y27" s="254">
        <f>Y$21*$Y$24</f>
        <v>0</v>
      </c>
      <c r="Z27" s="254">
        <f>Z$21*$Y$24</f>
        <v>0</v>
      </c>
      <c r="AA27" s="254">
        <f>AA$21*$Y$24</f>
        <v>0</v>
      </c>
      <c r="AC27" s="255" t="s">
        <v>120</v>
      </c>
      <c r="AD27" s="256">
        <v>5</v>
      </c>
      <c r="AE27" s="257">
        <v>0.3</v>
      </c>
      <c r="AF27" s="257">
        <v>0.9</v>
      </c>
      <c r="AG27" s="257">
        <v>0.45</v>
      </c>
      <c r="AH27" s="224" t="str">
        <f>IF($E$18&lt;&gt;"","Yes",IF($E$19&lt;&gt;"","Yes",IF($E$20&lt;&gt;"","Yes","")))</f>
        <v/>
      </c>
    </row>
    <row r="28" spans="2:37" ht="15.75" customHeight="1" x14ac:dyDescent="0.3">
      <c r="B28" s="233"/>
      <c r="C28" s="234"/>
      <c r="D28" s="234"/>
      <c r="E28" s="234"/>
      <c r="F28" s="234"/>
      <c r="G28" s="235"/>
      <c r="I28" s="236"/>
      <c r="J28" s="249" t="str">
        <f>IF($E18="","Leader #1 ()","Leader #1 (" &amp; $E18 &amp; ")")</f>
        <v>Leader #1 ()</v>
      </c>
      <c r="K28" s="250" t="str">
        <f>IF($E$12="","",IF($Y$6=0,"",IF($Z$3=0,"",IF($E18="","",IF($E18="Warlord","n/a",IF($Y38&gt;=0.97,"Near Certainty",IF($Y38&gt;=0.9,"Very Probable",IF($Y38&gt;=0.75,"Likely",IF($Y38&gt;=0.6,"Good",IF($Y38&gt;=0.45,"Questionable",IF($Y38&gt;=0.3,"Unlikely",IF($Y38&gt;=0.15,"Slight","Almost Impossible"))))))))))))</f>
        <v/>
      </c>
      <c r="L28" s="250" t="str">
        <f>IF($E$12="","",IF($Y$6=0,"",IF($Z$3=0,"",IF($E18="","",IF($E18="Warlord","n/a",IF($Z38&gt;=0.97,"Near Certainty",IF($Z38&gt;=0.9,"Very Probable",IF($Z38&gt;=0.75,"Likely",IF($Z38&gt;=0.6,"Good",IF($Z38&gt;=0.45,"Questionable",IF($Z38&gt;=0.3,"Unlikely",IF($Z38&gt;=0.15,"Slight","Almost Impossible"))))))))))))</f>
        <v/>
      </c>
      <c r="M28" s="237"/>
      <c r="O28" s="405"/>
      <c r="P28" s="406"/>
      <c r="Q28" s="406"/>
      <c r="R28" s="406"/>
      <c r="S28" s="406"/>
      <c r="T28" s="407"/>
      <c r="X28" s="220"/>
      <c r="Y28" s="221"/>
      <c r="Z28" s="221"/>
      <c r="AA28" s="221"/>
      <c r="AC28" s="255" t="s">
        <v>265</v>
      </c>
      <c r="AD28" s="256">
        <v>6</v>
      </c>
      <c r="AE28" s="257">
        <v>0.3</v>
      </c>
      <c r="AF28" s="257">
        <v>0.9</v>
      </c>
      <c r="AG28" s="257">
        <v>0.45</v>
      </c>
    </row>
    <row r="29" spans="2:37" ht="15.75" customHeight="1" x14ac:dyDescent="0.25">
      <c r="B29" s="228"/>
      <c r="C29" s="230"/>
      <c r="D29" s="230"/>
      <c r="E29" s="230"/>
      <c r="F29" s="230"/>
      <c r="G29" s="152"/>
      <c r="I29" s="236"/>
      <c r="J29" s="249" t="str">
        <f>IF($E19="","Leader #2 ()","Leader #2 (" &amp; $E19 &amp; ")")</f>
        <v>Leader #2 ()</v>
      </c>
      <c r="K29" s="250" t="str">
        <f>IF($E$12="","",IF($Y$6=0,"",IF($Z$3=0,"",IF($E19="","",IF($E19="Warlord","n/a",IF($Y39&gt;=0.97,"Near Certainty",IF($Y39&gt;=0.9,"Very Probable",IF($Y39&gt;=0.75,"Likely",IF($Y39&gt;=0.6,"Good",IF($Y39&gt;=0.45,"Questionable",IF($Y39&gt;=0.3,"Unlikely",IF($Y39&gt;=0.15,"Slight","Almost Impossible"))))))))))))</f>
        <v/>
      </c>
      <c r="L29" s="250" t="str">
        <f>IF($E$12="","",IF($Y$6=0,"",IF($Z$3=0,"",IF($E19="","",IF($E19="Warlord","n/a",IF($Z39&gt;=0.97,"Near Certainty",IF($Z39&gt;=0.9,"Very Probable",IF($Z39&gt;=0.75,"Likely",IF($Z39&gt;=0.6,"Good",IF($Z39&gt;=0.45,"Questionable",IF($Z39&gt;=0.3,"Unlikely",IF($Z39&gt;=0.15,"Slight","Almost Impossible"))))))))))))</f>
        <v/>
      </c>
      <c r="M29" s="237"/>
      <c r="O29" s="288"/>
      <c r="P29" s="444" t="str">
        <f>IF($E$4="","Kingdom",VLOOKUP($E$4,$AC$2:$AL$16,10))</f>
        <v>Kingdom</v>
      </c>
      <c r="Q29" s="444"/>
      <c r="R29" s="444"/>
      <c r="S29" s="444"/>
      <c r="T29" s="289"/>
      <c r="X29" s="264" t="s">
        <v>261</v>
      </c>
      <c r="Y29" s="268" t="s">
        <v>315</v>
      </c>
      <c r="Z29" s="268" t="s">
        <v>316</v>
      </c>
      <c r="AA29" s="221"/>
      <c r="AC29" s="255" t="s">
        <v>266</v>
      </c>
      <c r="AD29" s="256">
        <v>7</v>
      </c>
      <c r="AE29" s="257">
        <v>0.3</v>
      </c>
      <c r="AF29" s="257">
        <v>0.9</v>
      </c>
      <c r="AG29" s="257">
        <v>0.45</v>
      </c>
    </row>
    <row r="30" spans="2:37" ht="15.75" customHeight="1" x14ac:dyDescent="0.3">
      <c r="B30" s="228"/>
      <c r="C30" s="230"/>
      <c r="D30" s="230"/>
      <c r="E30" s="422" t="s">
        <v>267</v>
      </c>
      <c r="F30" s="422"/>
      <c r="G30" s="152"/>
      <c r="I30" s="236"/>
      <c r="J30" s="249" t="str">
        <f>IF($E20="","Leader #3 ()","Leader #3 (" &amp; $E20 &amp; ")")</f>
        <v>Leader #3 ()</v>
      </c>
      <c r="K30" s="250" t="str">
        <f>IF($E$12="","",IF($Y$6=0,"",IF($Z$3=0,"",IF($E20="","",IF($E20="Warlord","n/a",IF($Y40&gt;=0.97,"Near Certainty",IF($Y40&gt;=0.9,"Very Probable",IF($Y40&gt;=0.75,"Likely",IF($Y40&gt;=0.6,"Good",IF($Y40&gt;=0.45,"Questionable",IF($Y40&gt;=0.3,"Unlikely",IF($Y40&gt;=0.15,"Slight","Almost Impossible"))))))))))))</f>
        <v/>
      </c>
      <c r="L30" s="250" t="str">
        <f>IF($E$12="","",IF($Y$6=0,"",IF($Z$3=0,"",IF($E20="","",IF($E20="Warlord","n/a",IF($Z40&gt;=0.97,"Near Certainty",IF($Z40&gt;=0.9,"Very Probable",IF($Z40&gt;=0.75,"Likely",IF($Z40&gt;=0.6,"Good",IF($Z40&gt;=0.45,"Questionable",IF($Z40&gt;=0.3,"Unlikely",IF($Z40&gt;=0.15,"Slight","Almost Impossible"))))))))))))</f>
        <v/>
      </c>
      <c r="M30" s="237"/>
      <c r="O30" s="288"/>
      <c r="P30" s="428" t="str">
        <f>IF($E$4="","",VLOOKUP($E$4,$AC$2:$AK$16,9))</f>
        <v/>
      </c>
      <c r="Q30" s="429"/>
      <c r="R30" s="429"/>
      <c r="S30" s="430"/>
      <c r="T30" s="289"/>
      <c r="X30" s="238" t="s">
        <v>225</v>
      </c>
      <c r="Y30" s="250" t="str">
        <f>IF($Z$21=0,"",IF($E18="","",IF($E$4="","",(VLOOKUP($E18,$AC$27:$AG$36,3))*(1/$Z$21)*($Y$24)*(0.75)*(VLOOKUP($E$4,$AC$2:$AI$16,7)))))</f>
        <v/>
      </c>
      <c r="Z30" s="250" t="str">
        <f>IF($Z$21=0,"",IF($E18="","",IF($E$4="","",(VLOOKUP($E18,$AC$27:$AG$36,3))*(1/$Z$21)*($Y$24)*(1.25)*(VLOOKUP($E$4,$AC$2:$AI$16,7)))))</f>
        <v/>
      </c>
      <c r="AA30" s="221"/>
      <c r="AC30" s="255" t="s">
        <v>121</v>
      </c>
      <c r="AD30" s="256">
        <v>10</v>
      </c>
      <c r="AE30" s="257">
        <v>0.2</v>
      </c>
      <c r="AF30" s="257">
        <v>0.8</v>
      </c>
      <c r="AG30" s="257">
        <v>0.4</v>
      </c>
      <c r="AH30"/>
    </row>
    <row r="31" spans="2:37" ht="15.75" customHeight="1" thickBot="1" x14ac:dyDescent="0.35">
      <c r="B31" s="228"/>
      <c r="C31" s="230"/>
      <c r="D31" s="230"/>
      <c r="E31" s="423"/>
      <c r="F31" s="423"/>
      <c r="G31" s="152"/>
      <c r="I31" s="244"/>
      <c r="J31" s="245"/>
      <c r="K31" s="245"/>
      <c r="L31" s="245"/>
      <c r="M31" s="246"/>
      <c r="O31" s="288"/>
      <c r="P31" s="431"/>
      <c r="Q31" s="432"/>
      <c r="R31" s="432"/>
      <c r="S31" s="433"/>
      <c r="T31" s="289"/>
      <c r="X31" s="238" t="s">
        <v>226</v>
      </c>
      <c r="Y31" s="250" t="str">
        <f>IF($Z$21=0,"",IF($E19="","",IF($E$4="","",(VLOOKUP($E19,$AC$27:$AG$36,3))*(1/$Z$21)*($Y$24)*(0.75)*(VLOOKUP($E$4,$AC$2:$AI$16,7)))))</f>
        <v/>
      </c>
      <c r="Z31" s="250" t="str">
        <f>IF($Z$21=0,"",IF($E19="","",IF($E$4="","",(VLOOKUP($E19,$AC$27:$AG$36,3))*(1/$Z$21)*($Y$24)*(1.25)*(VLOOKUP($E$4,$AC$2:$AI$16,7)))))</f>
        <v/>
      </c>
      <c r="AA31" s="221"/>
      <c r="AC31" s="255" t="s">
        <v>268</v>
      </c>
      <c r="AD31" s="256">
        <v>11</v>
      </c>
      <c r="AE31" s="257">
        <v>0.2</v>
      </c>
      <c r="AF31" s="257">
        <v>0.8</v>
      </c>
      <c r="AG31" s="257">
        <v>0.4</v>
      </c>
    </row>
    <row r="32" spans="2:37" ht="15.75" customHeight="1" thickTop="1" x14ac:dyDescent="0.3">
      <c r="B32" s="228"/>
      <c r="C32" s="283" t="s">
        <v>269</v>
      </c>
      <c r="D32" s="251" t="s">
        <v>241</v>
      </c>
      <c r="E32" s="437"/>
      <c r="F32" s="437"/>
      <c r="G32" s="152"/>
      <c r="I32" s="402" t="s">
        <v>422</v>
      </c>
      <c r="J32" s="403"/>
      <c r="K32" s="403"/>
      <c r="L32" s="403"/>
      <c r="M32" s="404"/>
      <c r="O32" s="288"/>
      <c r="P32" s="427" t="str">
        <f>IF($E$8="","Artifact Class","Artifact Class:  " &amp; MID($E$8,4,12))</f>
        <v>Artifact Class</v>
      </c>
      <c r="Q32" s="427"/>
      <c r="R32" s="427"/>
      <c r="S32" s="427"/>
      <c r="T32" s="289"/>
      <c r="X32" s="238" t="s">
        <v>227</v>
      </c>
      <c r="Y32" s="250" t="str">
        <f>IF($Z$21=0,"",IF($E20="","",IF($E$4="","",(VLOOKUP($E20,$AC$27:$AG$36,3))*(1/$Z$21)*($Y$24)*(0.75)*(VLOOKUP($E$4,$AC$2:$AI$16,7)))))</f>
        <v/>
      </c>
      <c r="Z32" s="250" t="str">
        <f>IF($Z$21=0,"",IF($E20="","",IF($E$4="","",(VLOOKUP($E20,$AC$27:$AG$36,3))*(1/$Z$21)*($Y$24)*(1.25)*(VLOOKUP($E$4,$AC$2:$AI$16,7)))))</f>
        <v/>
      </c>
      <c r="AA32" s="221"/>
      <c r="AC32" s="255" t="s">
        <v>270</v>
      </c>
      <c r="AD32" s="256">
        <v>12</v>
      </c>
      <c r="AE32" s="257">
        <v>0.2</v>
      </c>
      <c r="AF32" s="257">
        <v>0.8</v>
      </c>
      <c r="AG32" s="257">
        <v>0.4</v>
      </c>
    </row>
    <row r="33" spans="2:35" ht="15.75" customHeight="1" x14ac:dyDescent="0.3">
      <c r="B33" s="228"/>
      <c r="C33" s="284" t="s">
        <v>271</v>
      </c>
      <c r="D33" s="251" t="s">
        <v>245</v>
      </c>
      <c r="E33" s="437"/>
      <c r="F33" s="437"/>
      <c r="G33" s="152"/>
      <c r="I33" s="405"/>
      <c r="J33" s="406"/>
      <c r="K33" s="406"/>
      <c r="L33" s="406"/>
      <c r="M33" s="407"/>
      <c r="O33" s="288"/>
      <c r="P33" s="428" t="str">
        <f>IF($E$8="","",VLOOKUP($E$8,$AC$19:$AF$23,4))</f>
        <v/>
      </c>
      <c r="Q33" s="429"/>
      <c r="R33" s="429"/>
      <c r="S33" s="430"/>
      <c r="T33" s="289"/>
      <c r="X33" s="238" t="s">
        <v>228</v>
      </c>
      <c r="Y33" s="250" t="str">
        <f>IF($Z$21=0,"",IF($E25="","",IF($E$4="","",(VLOOKUP($E25,$AC$39:$AE$54,3))*(1/$Z$21)*($Y$24)*(0.75)*(VLOOKUP($E$4,$AC$2:$AI$16,7)))))</f>
        <v/>
      </c>
      <c r="Z33" s="250" t="str">
        <f>IF($Z$21=0,"",IF($E25="","",IF($E$4="","",(VLOOKUP($E25,$AC$39:$AE$54,3))*(1/$Z$21)*($Y$24)*(1.25)*(VLOOKUP($E$4,$AC$2:$AI$16,7)))))</f>
        <v/>
      </c>
      <c r="AA33" s="221"/>
      <c r="AC33" s="255" t="s">
        <v>122</v>
      </c>
      <c r="AD33" s="256">
        <v>15</v>
      </c>
      <c r="AE33" s="257">
        <v>0.15</v>
      </c>
      <c r="AF33" s="257">
        <v>0.7</v>
      </c>
      <c r="AG33" s="257">
        <v>0.35</v>
      </c>
    </row>
    <row r="34" spans="2:35" ht="15.75" customHeight="1" x14ac:dyDescent="0.3">
      <c r="B34" s="228"/>
      <c r="C34" s="230"/>
      <c r="D34" s="251" t="s">
        <v>248</v>
      </c>
      <c r="E34" s="437"/>
      <c r="F34" s="437"/>
      <c r="G34" s="152"/>
      <c r="I34" s="236"/>
      <c r="J34" s="248"/>
      <c r="K34" s="258" t="s">
        <v>272</v>
      </c>
      <c r="L34" s="258" t="s">
        <v>263</v>
      </c>
      <c r="M34" s="237"/>
      <c r="O34" s="288"/>
      <c r="P34" s="441"/>
      <c r="Q34" s="442"/>
      <c r="R34" s="442"/>
      <c r="S34" s="443"/>
      <c r="T34" s="289"/>
      <c r="X34" s="238" t="s">
        <v>230</v>
      </c>
      <c r="Y34" s="250" t="str">
        <f>IF($Z$21=0,"",IF($E26="","",IF($E$4="","",(VLOOKUP($E26,$AC$39:$AE$54,3))*(1/$Z$21)*($Y$24)*(0.75)*(VLOOKUP($E$4,$AC$2:$AI$16,7)))))</f>
        <v/>
      </c>
      <c r="Z34" s="250" t="str">
        <f>IF($Z$21=0,"",IF($E26="","",IF($E$4="","",(VLOOKUP($E26,$AC$39:$AE$54,3))*(1/$Z$21)*($Y$24)*(1.25)*(VLOOKUP($E$4,$AC$2:$AI$16,7)))))</f>
        <v/>
      </c>
      <c r="AA34" s="221"/>
      <c r="AC34" s="255" t="s">
        <v>273</v>
      </c>
      <c r="AD34" s="256">
        <v>16</v>
      </c>
      <c r="AE34" s="257">
        <v>0.15</v>
      </c>
      <c r="AF34" s="257">
        <v>0.7</v>
      </c>
      <c r="AG34" s="257">
        <v>0.35</v>
      </c>
    </row>
    <row r="35" spans="2:35" ht="15.75" customHeight="1" x14ac:dyDescent="0.3">
      <c r="B35" s="228"/>
      <c r="C35" s="230"/>
      <c r="D35" s="251" t="s">
        <v>274</v>
      </c>
      <c r="E35" s="437"/>
      <c r="F35" s="437"/>
      <c r="G35" s="152"/>
      <c r="I35" s="270"/>
      <c r="J35" s="438" t="s">
        <v>275</v>
      </c>
      <c r="K35" s="419" t="str">
        <f>IF($E$12="","",IF($Y$6=0,"",IF($Z$3=0,"",IF($Y43&gt;=0.97,"Near Certainty",IF($Y43&gt;=0.93,"Very Probable",IF($Y43&gt;=0.9,"Likely",IF($Y43&gt;=0.8,"Good",IF($Y43&gt;=0.7,"Questionable",IF($Y43&gt;=0.6,"Unlikely",IF($Y43&gt;=0.5,"Slight","Almost No Chance"))))))))))</f>
        <v/>
      </c>
      <c r="L35" s="419" t="str">
        <f>IF($E$12="","",IF($Y$6=0,"",IF($Z$3=0,"",IF($Z43&gt;=0.97,"Near Certainty",IF($Z43&gt;=0.9,"Very Probable",IF($Z43&gt;=0.85,"Likely",IF($Z43&gt;=0.8,"Good",IF($Z43&gt;=0.7,"Questionable",IF($Z43&gt;=0.6,"Unlikely",IF($Z43&gt;=0.5,"Slight","Almost No Chance"))))))))))</f>
        <v/>
      </c>
      <c r="M35" s="237"/>
      <c r="O35" s="288"/>
      <c r="P35" s="427" t="str">
        <f>IF($E$12="","Tactic",$E$12)</f>
        <v>Tactic</v>
      </c>
      <c r="Q35" s="427"/>
      <c r="R35" s="427"/>
      <c r="S35" s="427"/>
      <c r="T35" s="289"/>
      <c r="X35" s="238" t="s">
        <v>233</v>
      </c>
      <c r="Y35" s="250" t="str">
        <f>IF($Z$21=0,"",IF($E27="","",IF($E$4="","",(VLOOKUP($E27,$AC$39:$AE$54,3))*(1/$Z$21)*($Y$24)*(0.75)*(VLOOKUP($E$4,$AC$2:$AI$16,7)))))</f>
        <v/>
      </c>
      <c r="Z35" s="250" t="str">
        <f>IF($Z$21=0,"",IF($E27="","",IF($E$4="","",(VLOOKUP($E27,$AC$39:$AE$54,3))*(1/$Z$21)*($Y$24)*(1.25)*(VLOOKUP($E$4,$AC$2:$AI$16,7)))))</f>
        <v/>
      </c>
      <c r="AA35" s="221"/>
      <c r="AC35" s="255" t="s">
        <v>276</v>
      </c>
      <c r="AD35" s="256">
        <v>20</v>
      </c>
      <c r="AE35" s="257">
        <v>0.1</v>
      </c>
      <c r="AF35" s="257">
        <v>0.5</v>
      </c>
      <c r="AG35" s="257">
        <v>0.25</v>
      </c>
    </row>
    <row r="36" spans="2:35" ht="15.75" customHeight="1" x14ac:dyDescent="0.3">
      <c r="B36" s="228"/>
      <c r="C36" s="230"/>
      <c r="D36" s="251" t="s">
        <v>277</v>
      </c>
      <c r="E36" s="437"/>
      <c r="F36" s="437"/>
      <c r="G36" s="152"/>
      <c r="I36" s="270"/>
      <c r="J36" s="438"/>
      <c r="K36" s="419"/>
      <c r="L36" s="419"/>
      <c r="M36" s="237"/>
      <c r="O36" s="288"/>
      <c r="P36" s="434" t="str">
        <f>IF($E$12="","",VLOOKUP($E$12,$AC$57:$AE$59,3))</f>
        <v/>
      </c>
      <c r="Q36" s="435"/>
      <c r="R36" s="435"/>
      <c r="S36" s="436"/>
      <c r="T36" s="289"/>
      <c r="X36" s="220"/>
      <c r="Y36" s="221"/>
      <c r="Z36" s="221"/>
      <c r="AA36" s="221"/>
      <c r="AC36" s="255" t="s">
        <v>123</v>
      </c>
      <c r="AD36" s="256">
        <v>25</v>
      </c>
      <c r="AE36" s="257">
        <v>0.05</v>
      </c>
      <c r="AF36" s="257">
        <v>0</v>
      </c>
      <c r="AG36" s="257">
        <v>0</v>
      </c>
    </row>
    <row r="37" spans="2:35" ht="15.75" customHeight="1" thickBot="1" x14ac:dyDescent="0.25">
      <c r="B37" s="259"/>
      <c r="C37" s="260"/>
      <c r="D37" s="260"/>
      <c r="E37" s="260"/>
      <c r="F37" s="260"/>
      <c r="G37" s="153"/>
      <c r="I37" s="244"/>
      <c r="J37" s="245"/>
      <c r="K37" s="245"/>
      <c r="L37" s="245"/>
      <c r="M37" s="246"/>
      <c r="O37" s="290"/>
      <c r="P37" s="291"/>
      <c r="Q37" s="291"/>
      <c r="R37" s="291"/>
      <c r="S37" s="291"/>
      <c r="T37" s="292"/>
      <c r="X37" s="264" t="s">
        <v>317</v>
      </c>
      <c r="Y37" s="268" t="s">
        <v>315</v>
      </c>
      <c r="Z37" s="268" t="s">
        <v>316</v>
      </c>
      <c r="AA37" s="221"/>
    </row>
    <row r="38" spans="2:35" ht="15.75" customHeight="1" thickTop="1" x14ac:dyDescent="0.25">
      <c r="X38" s="238" t="s">
        <v>225</v>
      </c>
      <c r="Y38" s="250" t="str">
        <f>IF($E18="","",(VLOOKUP($E18,$AC$27:$AG$36,4))+(VLOOKUP($E$4,$AC$2:$AI$16,6)))</f>
        <v/>
      </c>
      <c r="Z38" s="250" t="str">
        <f>IF($E18="","",(VLOOKUP($E18,$AC$27:$AG$36,5))+(VLOOKUP($E$4,$AC$2:$AI$16,6)))</f>
        <v/>
      </c>
      <c r="AA38" s="221"/>
      <c r="AC38" s="216" t="s">
        <v>278</v>
      </c>
      <c r="AD38" s="216" t="s">
        <v>279</v>
      </c>
      <c r="AE38" s="216" t="s">
        <v>259</v>
      </c>
      <c r="AF38" s="216" t="s">
        <v>308</v>
      </c>
      <c r="AG38" s="216" t="s">
        <v>280</v>
      </c>
      <c r="AH38" s="216" t="s">
        <v>281</v>
      </c>
    </row>
    <row r="39" spans="2:35" ht="15.75" customHeight="1" x14ac:dyDescent="0.25">
      <c r="X39" s="238" t="s">
        <v>226</v>
      </c>
      <c r="Y39" s="250" t="str">
        <f>IF($E19="","",(VLOOKUP($E19,$AC$27:$AG$36,4))+(VLOOKUP($E$4,$AC$2:$AI$16,6)))</f>
        <v/>
      </c>
      <c r="Z39" s="250" t="str">
        <f>IF($E19="","",(VLOOKUP($E19,$AC$27:$AG$36,5))+(VLOOKUP($E$4,$AC$2:$AI$16,6)))</f>
        <v/>
      </c>
      <c r="AA39" s="221"/>
      <c r="AC39" s="252" t="s">
        <v>335</v>
      </c>
      <c r="AD39" s="223">
        <v>0</v>
      </c>
      <c r="AE39" s="257">
        <v>0.3</v>
      </c>
      <c r="AF39" s="224" t="str">
        <f>IF($E$25&lt;&gt;"","Yes",IF($E$26&lt;&gt;"","Yes",IF($E$27&lt;&gt;"","Yes","")))</f>
        <v/>
      </c>
      <c r="AG39" s="265" t="s">
        <v>283</v>
      </c>
      <c r="AH39" s="224">
        <v>20</v>
      </c>
    </row>
    <row r="40" spans="2:35" ht="15.75" customHeight="1" x14ac:dyDescent="0.25">
      <c r="X40" s="238" t="s">
        <v>227</v>
      </c>
      <c r="Y40" s="250" t="str">
        <f>IF($E20="","",(VLOOKUP($E20,$AC$27:$AG$36,4))+(VLOOKUP($E$4,$AC$2:$AI$16,6)))</f>
        <v/>
      </c>
      <c r="Z40" s="250" t="str">
        <f>IF($E20="","",(VLOOKUP($E20,$AC$27:$AG$36,5))+(VLOOKUP($E$4,$AC$2:$AI$16,6)))</f>
        <v/>
      </c>
      <c r="AA40" s="221"/>
      <c r="AC40" s="252" t="s">
        <v>282</v>
      </c>
      <c r="AD40" s="261">
        <v>1</v>
      </c>
      <c r="AE40" s="257">
        <v>0.3</v>
      </c>
      <c r="AF40" s="144"/>
      <c r="AG40" s="265" t="s">
        <v>286</v>
      </c>
      <c r="AH40" s="224">
        <v>20</v>
      </c>
    </row>
    <row r="41" spans="2:35" ht="15.75" customHeight="1" x14ac:dyDescent="0.25">
      <c r="X41" s="220"/>
      <c r="Y41" s="221"/>
      <c r="Z41" s="221"/>
      <c r="AA41" s="221"/>
      <c r="AC41" s="252" t="s">
        <v>285</v>
      </c>
      <c r="AD41" s="261">
        <v>2</v>
      </c>
      <c r="AE41" s="257">
        <v>0.2</v>
      </c>
      <c r="AF41" s="144"/>
      <c r="AG41" s="265" t="s">
        <v>288</v>
      </c>
      <c r="AH41" s="224">
        <v>25</v>
      </c>
    </row>
    <row r="42" spans="2:35" ht="15.75" customHeight="1" x14ac:dyDescent="0.25">
      <c r="X42" s="264" t="s">
        <v>318</v>
      </c>
      <c r="Y42" s="268" t="s">
        <v>315</v>
      </c>
      <c r="Z42" s="268" t="s">
        <v>316</v>
      </c>
      <c r="AA42" s="221"/>
      <c r="AC42" s="252" t="s">
        <v>287</v>
      </c>
      <c r="AD42" s="261">
        <v>3</v>
      </c>
      <c r="AE42" s="257">
        <v>0.15</v>
      </c>
      <c r="AF42" s="144"/>
    </row>
    <row r="43" spans="2:35" ht="15.75" customHeight="1" x14ac:dyDescent="0.3">
      <c r="X43" s="238" t="s">
        <v>284</v>
      </c>
      <c r="Y43" s="250" t="str">
        <f>IF($E$4="","",((AH$46)*(VLOOKUP($E$4,$AC$2:$AJ$16,8))))</f>
        <v/>
      </c>
      <c r="Z43" s="250" t="str">
        <f>IF($E$4="","",((AI$46)*(VLOOKUP($E$4,$AC$2:$AJ$16,8))))</f>
        <v/>
      </c>
      <c r="AA43" s="221"/>
      <c r="AC43" s="252" t="s">
        <v>289</v>
      </c>
      <c r="AD43" s="261">
        <v>4</v>
      </c>
      <c r="AE43" s="257">
        <v>0.1</v>
      </c>
      <c r="AF43" s="144"/>
    </row>
    <row r="44" spans="2:35" ht="15.75" customHeight="1" x14ac:dyDescent="0.3">
      <c r="X44" s="220"/>
      <c r="Y44" s="221"/>
      <c r="Z44" s="221"/>
      <c r="AA44" s="221"/>
      <c r="AC44" s="252" t="s">
        <v>290</v>
      </c>
      <c r="AD44" s="261">
        <v>5</v>
      </c>
      <c r="AE44" s="257">
        <v>0.05</v>
      </c>
      <c r="AF44" s="144"/>
    </row>
    <row r="45" spans="2:35" ht="15.75" customHeight="1" x14ac:dyDescent="0.3">
      <c r="AC45" s="252" t="s">
        <v>291</v>
      </c>
      <c r="AD45" s="261">
        <v>6</v>
      </c>
      <c r="AE45" s="257">
        <v>0.05</v>
      </c>
      <c r="AF45" s="144"/>
      <c r="AG45" s="263" t="s">
        <v>328</v>
      </c>
      <c r="AH45" s="263" t="s">
        <v>327</v>
      </c>
      <c r="AI45" s="263" t="s">
        <v>263</v>
      </c>
    </row>
    <row r="46" spans="2:35" ht="15.75" customHeight="1" x14ac:dyDescent="0.3">
      <c r="AC46" s="252" t="s">
        <v>292</v>
      </c>
      <c r="AD46" s="261">
        <v>7</v>
      </c>
      <c r="AE46" s="257">
        <v>0.05</v>
      </c>
      <c r="AF46" s="144"/>
      <c r="AG46" s="269" t="s">
        <v>326</v>
      </c>
      <c r="AH46" s="257">
        <v>0.9</v>
      </c>
      <c r="AI46" s="257">
        <v>0.6</v>
      </c>
    </row>
    <row r="47" spans="2:35" ht="15.75" customHeight="1" x14ac:dyDescent="0.3">
      <c r="AC47" s="252" t="s">
        <v>293</v>
      </c>
      <c r="AD47" s="261">
        <v>8</v>
      </c>
      <c r="AE47" s="257">
        <v>0.05</v>
      </c>
      <c r="AF47" s="144"/>
    </row>
    <row r="48" spans="2:35" ht="15.75" customHeight="1" x14ac:dyDescent="0.3">
      <c r="X48" s="262"/>
      <c r="AC48" s="252" t="s">
        <v>294</v>
      </c>
      <c r="AD48" s="261">
        <v>9</v>
      </c>
      <c r="AE48" s="257">
        <v>0.05</v>
      </c>
      <c r="AF48" s="144"/>
    </row>
    <row r="49" spans="24:37" ht="15.75" customHeight="1" x14ac:dyDescent="0.3">
      <c r="X49" s="262"/>
      <c r="AC49" s="252" t="s">
        <v>295</v>
      </c>
      <c r="AD49" s="261">
        <v>10</v>
      </c>
      <c r="AE49" s="257">
        <v>0.05</v>
      </c>
      <c r="AF49" s="144"/>
    </row>
    <row r="50" spans="24:37" ht="15.75" customHeight="1" x14ac:dyDescent="0.3">
      <c r="X50" s="262"/>
      <c r="AC50" s="252" t="s">
        <v>296</v>
      </c>
      <c r="AD50" s="261">
        <v>11</v>
      </c>
      <c r="AE50" s="257">
        <v>0.05</v>
      </c>
      <c r="AF50" s="144"/>
    </row>
    <row r="51" spans="24:37" ht="15.75" customHeight="1" x14ac:dyDescent="0.3">
      <c r="X51" s="262"/>
      <c r="AC51" s="252" t="s">
        <v>297</v>
      </c>
      <c r="AD51" s="261">
        <v>12</v>
      </c>
      <c r="AE51" s="257">
        <v>0.05</v>
      </c>
      <c r="AF51" s="144"/>
    </row>
    <row r="52" spans="24:37" ht="15.75" customHeight="1" x14ac:dyDescent="0.3">
      <c r="X52" s="262"/>
      <c r="AC52" s="252" t="s">
        <v>298</v>
      </c>
      <c r="AD52" s="261">
        <v>13</v>
      </c>
      <c r="AE52" s="257">
        <v>0.05</v>
      </c>
      <c r="AF52" s="144"/>
    </row>
    <row r="53" spans="24:37" ht="15.75" customHeight="1" x14ac:dyDescent="0.3">
      <c r="X53" s="262"/>
      <c r="AC53" s="252" t="s">
        <v>299</v>
      </c>
      <c r="AD53" s="261">
        <v>14</v>
      </c>
      <c r="AE53" s="257">
        <v>0.05</v>
      </c>
      <c r="AF53" s="144"/>
    </row>
    <row r="54" spans="24:37" ht="15.75" customHeight="1" x14ac:dyDescent="0.3">
      <c r="X54" s="262"/>
      <c r="AC54" s="252" t="s">
        <v>300</v>
      </c>
      <c r="AD54" s="261">
        <v>15</v>
      </c>
      <c r="AE54" s="257">
        <v>0.05</v>
      </c>
    </row>
    <row r="55" spans="24:37" ht="15.75" customHeight="1" x14ac:dyDescent="0.3">
      <c r="X55" s="262"/>
      <c r="AE55" s="142"/>
    </row>
    <row r="56" spans="24:37" ht="15.75" customHeight="1" x14ac:dyDescent="0.3">
      <c r="AC56" s="216" t="s">
        <v>301</v>
      </c>
      <c r="AD56" s="216" t="s">
        <v>302</v>
      </c>
      <c r="AE56" s="297" t="s">
        <v>379</v>
      </c>
      <c r="AF56" s="298"/>
      <c r="AG56" s="299"/>
    </row>
    <row r="57" spans="24:37" ht="15.75" customHeight="1" x14ac:dyDescent="0.3">
      <c r="AC57" s="224" t="s">
        <v>303</v>
      </c>
      <c r="AD57" s="257">
        <v>0.75</v>
      </c>
      <c r="AE57" s="300" t="s">
        <v>380</v>
      </c>
      <c r="AF57" s="301"/>
      <c r="AG57" s="302"/>
    </row>
    <row r="58" spans="24:37" ht="15.75" customHeight="1" x14ac:dyDescent="0.3">
      <c r="AC58" s="224" t="s">
        <v>304</v>
      </c>
      <c r="AD58" s="257">
        <v>1</v>
      </c>
      <c r="AE58" s="300" t="s">
        <v>381</v>
      </c>
      <c r="AF58" s="301"/>
      <c r="AG58" s="302"/>
    </row>
    <row r="59" spans="24:37" ht="15.75" customHeight="1" x14ac:dyDescent="0.3">
      <c r="AC59" s="224" t="s">
        <v>305</v>
      </c>
      <c r="AD59" s="257">
        <v>1.25</v>
      </c>
      <c r="AE59" s="300" t="s">
        <v>382</v>
      </c>
      <c r="AF59" s="301"/>
      <c r="AG59" s="302"/>
    </row>
    <row r="60" spans="24:37" ht="15.75" customHeight="1" x14ac:dyDescent="0.3"/>
    <row r="61" spans="24:37" ht="15.75" customHeight="1" x14ac:dyDescent="0.3"/>
    <row r="62" spans="24:37" ht="15.75" customHeight="1" x14ac:dyDescent="0.3"/>
    <row r="63" spans="24:37" ht="15.75" customHeight="1" x14ac:dyDescent="0.3">
      <c r="AJ63" s="262"/>
      <c r="AK63" s="262"/>
    </row>
    <row r="64" spans="24:37" ht="15.75" customHeight="1" x14ac:dyDescent="0.3"/>
    <row r="65" spans="30:37" ht="15.75" customHeight="1" x14ac:dyDescent="0.3"/>
    <row r="66" spans="30:37" ht="15.75" customHeight="1" x14ac:dyDescent="0.3"/>
    <row r="67" spans="30:37" ht="15.75" customHeight="1" x14ac:dyDescent="0.3"/>
    <row r="68" spans="30:37" ht="15.75" customHeight="1" x14ac:dyDescent="0.3"/>
    <row r="69" spans="30:37" ht="15.75" customHeight="1" x14ac:dyDescent="0.3"/>
    <row r="70" spans="30:37" ht="15.75" customHeight="1" x14ac:dyDescent="0.3"/>
    <row r="71" spans="30:37" ht="15.75" customHeight="1" x14ac:dyDescent="0.3"/>
    <row r="72" spans="30:37" ht="15.75" customHeight="1" x14ac:dyDescent="0.3">
      <c r="AJ72" s="262"/>
      <c r="AK72" s="262"/>
    </row>
    <row r="73" spans="30:37" ht="15.75" customHeight="1" x14ac:dyDescent="0.3">
      <c r="AJ73" s="262"/>
      <c r="AK73" s="262"/>
    </row>
    <row r="74" spans="30:37" ht="15.75" customHeight="1" x14ac:dyDescent="0.3"/>
    <row r="75" spans="30:37" ht="15.75" customHeight="1" x14ac:dyDescent="0.3"/>
    <row r="76" spans="30:37" ht="15.75" customHeight="1" x14ac:dyDescent="0.3"/>
    <row r="77" spans="30:37" ht="15.75" customHeight="1" x14ac:dyDescent="0.3">
      <c r="AD77" s="142"/>
      <c r="AE77" s="142"/>
    </row>
    <row r="78" spans="30:37" ht="15.75" customHeight="1" x14ac:dyDescent="0.3">
      <c r="AD78" s="142"/>
      <c r="AE78" s="142"/>
    </row>
    <row r="79" spans="30:37" ht="15.75" customHeight="1" x14ac:dyDescent="0.3">
      <c r="AD79" s="142"/>
      <c r="AE79" s="142"/>
    </row>
    <row r="80" spans="30:37" ht="15.75" customHeight="1" x14ac:dyDescent="0.3">
      <c r="AD80" s="142"/>
      <c r="AE80" s="142"/>
    </row>
    <row r="81" spans="30:31" ht="15.75" customHeight="1" x14ac:dyDescent="0.3">
      <c r="AD81" s="142"/>
      <c r="AE81" s="142"/>
    </row>
    <row r="82" spans="30:31" ht="15.75" customHeight="1" x14ac:dyDescent="0.3">
      <c r="AD82" s="142"/>
      <c r="AE82" s="142"/>
    </row>
    <row r="83" spans="30:31" ht="15.75" customHeight="1" x14ac:dyDescent="0.3">
      <c r="AD83" s="142"/>
      <c r="AE83" s="142"/>
    </row>
    <row r="84" spans="30:31" ht="15.75" customHeight="1" x14ac:dyDescent="0.3">
      <c r="AD84" s="142"/>
      <c r="AE84" s="142"/>
    </row>
    <row r="85" spans="30:31" ht="15.75" customHeight="1" x14ac:dyDescent="0.3">
      <c r="AD85" s="142"/>
      <c r="AE85" s="142"/>
    </row>
    <row r="86" spans="30:31" ht="15.75" customHeight="1" x14ac:dyDescent="0.3">
      <c r="AD86" s="142"/>
      <c r="AE86" s="142"/>
    </row>
    <row r="87" spans="30:31" ht="15.75" customHeight="1" x14ac:dyDescent="0.3">
      <c r="AD87" s="142"/>
      <c r="AE87" s="142"/>
    </row>
    <row r="88" spans="30:31" ht="15.75" customHeight="1" x14ac:dyDescent="0.3">
      <c r="AD88" s="142"/>
      <c r="AE88" s="142"/>
    </row>
    <row r="89" spans="30:31" ht="15.75" customHeight="1" x14ac:dyDescent="0.3">
      <c r="AD89" s="142"/>
      <c r="AE89" s="142"/>
    </row>
    <row r="90" spans="30:31" ht="15.75" customHeight="1" x14ac:dyDescent="0.3">
      <c r="AD90" s="142"/>
      <c r="AE90" s="142"/>
    </row>
    <row r="91" spans="30:31" ht="15.75" customHeight="1" x14ac:dyDescent="0.3">
      <c r="AD91" s="142"/>
      <c r="AE91" s="142"/>
    </row>
    <row r="92" spans="30:31" ht="15.75" customHeight="1" x14ac:dyDescent="0.3">
      <c r="AD92" s="142"/>
      <c r="AE92" s="142"/>
    </row>
    <row r="93" spans="30:31" ht="15.75" customHeight="1" x14ac:dyDescent="0.3"/>
    <row r="94" spans="30:31" ht="15.75" customHeight="1" x14ac:dyDescent="0.3"/>
    <row r="95" spans="30:31" ht="15.75" customHeight="1" x14ac:dyDescent="0.3"/>
    <row r="96" spans="30:31" ht="15.75" customHeight="1" x14ac:dyDescent="0.3"/>
    <row r="97" ht="15.75" customHeight="1" x14ac:dyDescent="0.3"/>
    <row r="98" ht="15.75" customHeight="1" x14ac:dyDescent="0.3"/>
    <row r="99" ht="15.75" customHeight="1" x14ac:dyDescent="0.3"/>
  </sheetData>
  <sheetProtection password="EB26" sheet="1" objects="1" scenarios="1" selectLockedCells="1"/>
  <mergeCells count="47">
    <mergeCell ref="P15:P24"/>
    <mergeCell ref="P1:S1"/>
    <mergeCell ref="P33:S34"/>
    <mergeCell ref="P32:S32"/>
    <mergeCell ref="P29:S29"/>
    <mergeCell ref="P35:S35"/>
    <mergeCell ref="P30:S31"/>
    <mergeCell ref="P36:S36"/>
    <mergeCell ref="O27:T28"/>
    <mergeCell ref="E32:F32"/>
    <mergeCell ref="I32:M33"/>
    <mergeCell ref="E33:F33"/>
    <mergeCell ref="E34:F34"/>
    <mergeCell ref="E35:F35"/>
    <mergeCell ref="K35:K36"/>
    <mergeCell ref="L35:L36"/>
    <mergeCell ref="E36:F36"/>
    <mergeCell ref="J35:J36"/>
    <mergeCell ref="E30:F31"/>
    <mergeCell ref="K25:K27"/>
    <mergeCell ref="L25:L27"/>
    <mergeCell ref="AC25:AC26"/>
    <mergeCell ref="AD25:AD26"/>
    <mergeCell ref="AE25:AE26"/>
    <mergeCell ref="AF25:AG25"/>
    <mergeCell ref="AH25:AH26"/>
    <mergeCell ref="E16:E17"/>
    <mergeCell ref="F16:F17"/>
    <mergeCell ref="E23:E24"/>
    <mergeCell ref="F23:F24"/>
    <mergeCell ref="I23:M24"/>
    <mergeCell ref="J8:J9"/>
    <mergeCell ref="K8:K9"/>
    <mergeCell ref="L8:L9"/>
    <mergeCell ref="I11:M12"/>
    <mergeCell ref="K13:K15"/>
    <mergeCell ref="L13:L15"/>
    <mergeCell ref="C1:F1"/>
    <mergeCell ref="J1:L1"/>
    <mergeCell ref="X1:AA1"/>
    <mergeCell ref="I3:M4"/>
    <mergeCell ref="J5:J7"/>
    <mergeCell ref="K5:K7"/>
    <mergeCell ref="L5:L7"/>
    <mergeCell ref="B5:G5"/>
    <mergeCell ref="O3:T4"/>
    <mergeCell ref="P7:P14"/>
  </mergeCells>
  <conditionalFormatting sqref="J16:J21 J28:J30">
    <cfRule type="endsWith" dxfId="67" priority="168" operator="endsWith" text="()">
      <formula>RIGHT(J16,LEN("()"))="()"</formula>
    </cfRule>
  </conditionalFormatting>
  <conditionalFormatting sqref="F18">
    <cfRule type="expression" dxfId="66" priority="167">
      <formula>$E$18=""</formula>
    </cfRule>
  </conditionalFormatting>
  <conditionalFormatting sqref="F19">
    <cfRule type="expression" dxfId="65" priority="166">
      <formula>$E$19=""</formula>
    </cfRule>
  </conditionalFormatting>
  <conditionalFormatting sqref="F20">
    <cfRule type="expression" dxfId="64" priority="165">
      <formula>$E$20=""</formula>
    </cfRule>
  </conditionalFormatting>
  <conditionalFormatting sqref="F25">
    <cfRule type="expression" dxfId="63" priority="164">
      <formula>$E$25=""</formula>
    </cfRule>
  </conditionalFormatting>
  <conditionalFormatting sqref="F26">
    <cfRule type="expression" dxfId="62" priority="163">
      <formula>$E$26=""</formula>
    </cfRule>
  </conditionalFormatting>
  <conditionalFormatting sqref="F27">
    <cfRule type="expression" dxfId="61" priority="162">
      <formula>$E$27=""</formula>
    </cfRule>
  </conditionalFormatting>
  <conditionalFormatting sqref="J8:L9">
    <cfRule type="cellIs" dxfId="60" priority="154" operator="equal">
      <formula>"Near Certainty"</formula>
    </cfRule>
    <cfRule type="cellIs" dxfId="59" priority="155" operator="equal">
      <formula>"Promising"</formula>
    </cfRule>
    <cfRule type="cellIs" dxfId="58" priority="156" operator="equal">
      <formula>"Good"</formula>
    </cfRule>
    <cfRule type="cellIs" dxfId="57" priority="157" operator="equal">
      <formula>"Decent"</formula>
    </cfRule>
    <cfRule type="cellIs" dxfId="56" priority="158" operator="equal">
      <formula>"Iffy"</formula>
    </cfRule>
    <cfRule type="cellIs" dxfId="55" priority="159" operator="equal">
      <formula>"Unlikely"</formula>
    </cfRule>
    <cfRule type="cellIs" dxfId="54" priority="160" operator="equal">
      <formula>"Slight"</formula>
    </cfRule>
    <cfRule type="cellIs" dxfId="53" priority="161" operator="equal">
      <formula>"Suicide Mission"</formula>
    </cfRule>
  </conditionalFormatting>
  <conditionalFormatting sqref="E4 E8 E12">
    <cfRule type="containsBlanks" dxfId="52" priority="169">
      <formula>LEN(TRIM(E4))=0</formula>
    </cfRule>
  </conditionalFormatting>
  <conditionalFormatting sqref="K16:L21">
    <cfRule type="cellIs" dxfId="51" priority="132" operator="equal">
      <formula>"Suicide Mission"</formula>
    </cfRule>
    <cfRule type="cellIs" dxfId="50" priority="133" operator="equal">
      <formula>"Survival Doubtful"</formula>
    </cfRule>
    <cfRule type="cellIs" dxfId="49" priority="134" operator="equal">
      <formula>"Will Need Some Luck"</formula>
    </cfRule>
    <cfRule type="cellIs" dxfId="48" priority="135" operator="equal">
      <formula>"Dangerous"</formula>
    </cfRule>
    <cfRule type="cellIs" dxfId="47" priority="136" operator="equal">
      <formula>"Risky"</formula>
    </cfRule>
    <cfRule type="cellIs" dxfId="46" priority="137" operator="equal">
      <formula>"At Some Risk"</formula>
    </cfRule>
    <cfRule type="cellIs" dxfId="45" priority="138" operator="equal">
      <formula>"Unlikely"</formula>
    </cfRule>
    <cfRule type="cellIs" dxfId="44" priority="139" operator="equal">
      <formula>"Near Invulnerable"</formula>
    </cfRule>
  </conditionalFormatting>
  <conditionalFormatting sqref="K35:L36 K28:L30">
    <cfRule type="cellIs" dxfId="43" priority="123" operator="equal">
      <formula>"Near Certainty"</formula>
    </cfRule>
    <cfRule type="cellIs" dxfId="42" priority="124" operator="equal">
      <formula>"Very Probable"</formula>
    </cfRule>
    <cfRule type="cellIs" dxfId="41" priority="125" operator="equal">
      <formula>"Likely"</formula>
    </cfRule>
    <cfRule type="cellIs" dxfId="40" priority="126" operator="equal">
      <formula>"Good"</formula>
    </cfRule>
    <cfRule type="cellIs" dxfId="39" priority="127" operator="equal">
      <formula>"Questionable"</formula>
    </cfRule>
    <cfRule type="cellIs" dxfId="38" priority="128" operator="equal">
      <formula>"Unlikely"</formula>
    </cfRule>
    <cfRule type="cellIs" dxfId="37" priority="129" operator="equal">
      <formula>"Slight"</formula>
    </cfRule>
    <cfRule type="cellIs" dxfId="36" priority="130" operator="equal">
      <formula>"Almost No Chance"</formula>
    </cfRule>
    <cfRule type="cellIs" dxfId="35" priority="131" operator="equal">
      <formula>"Almost Impossible"</formula>
    </cfRule>
  </conditionalFormatting>
  <conditionalFormatting sqref="J35:J36">
    <cfRule type="expression" dxfId="34" priority="122">
      <formula>$K$35&lt;&gt;""</formula>
    </cfRule>
  </conditionalFormatting>
  <dataValidations count="8">
    <dataValidation type="list" allowBlank="1" showInputMessage="1" showErrorMessage="1" errorTitle="Invalid Selection" error="Please enter or select &quot;Yes&quot; to indicate if that wizard will be casting Guarded Attack. Else, leave blank._x000a__x000a_* Drop-down Menu *" sqref="F25:F27">
      <formula1>$AF$39:$AF$39</formula1>
    </dataValidation>
    <dataValidation type="list" showErrorMessage="1" errorTitle="Invalid selection" error="Please enter or select a leader._x000a__x000a_* Drop-down Menu *" sqref="E18:E20">
      <formula1>$AC$27:$AC$36</formula1>
    </dataValidation>
    <dataValidation type="list" allowBlank="1" showInputMessage="1" showErrorMessage="1" errorTitle="Invalid Selection" error="Please enter or select the Artifact Class._x000a__x000a_* Drop-down Menu *" sqref="E8">
      <formula1>$AC$19:$AC$23</formula1>
    </dataValidation>
    <dataValidation type="list" allowBlank="1" showInputMessage="1" showErrorMessage="1" errorTitle="Invalid Selection" error="Please enter or select &quot;Yes&quot; to indicate if that leader has Magical Armor. Else, leave blank._x000a__x000a_* Drop-down Menu *" sqref="F18:F20">
      <formula1>$AH$27:$AH$27</formula1>
    </dataValidation>
    <dataValidation type="list" allowBlank="1" showErrorMessage="1" errorTitle="Invalid Selection" error="Please enter or select a tactic._x000a__x000a_* Drop-down Menu *" sqref="E12">
      <formula1>$AC$57:$AC$59</formula1>
    </dataValidation>
    <dataValidation type="list" showErrorMessage="1" errorTitle="Invalid selection" error="Please enter or select a weapon artifact._x000a__x000a_* Drop-down Menu *" sqref="E32:E36">
      <formula1>$AG$39:$AG$41</formula1>
    </dataValidation>
    <dataValidation type="list" allowBlank="1" showErrorMessage="1" errorTitle="Invalid Selection" error="Please enter or select a kingdom._x000a__x000a_* Drop-down Menu *" sqref="E4">
      <formula1>$AC$2:$AC$16</formula1>
    </dataValidation>
    <dataValidation type="list" showErrorMessage="1" errorTitle="Invalid selection" error="Please enter or select a wizard power._x000a__x000a_* Drop-down Menu *" sqref="E25:E27">
      <formula1>$AC$39:$AC$54</formula1>
    </dataValidation>
  </dataValidations>
  <printOptions horizontalCentered="1"/>
  <pageMargins left="0.2" right="0.2" top="0.5" bottom="0.5" header="0.3" footer="0.3"/>
  <pageSetup scale="53" orientation="landscape" r:id="rId1"/>
  <headerFooter>
    <oddFooter>&amp;Lwww.Alamaze.co&amp;RPrepared by: Frost Lord</oddFooter>
  </headerFooter>
  <colBreaks count="1" manualBreakCount="1">
    <brk id="21" max="1048575" man="1"/>
  </colBreaks>
  <ignoredErrors>
    <ignoredError sqref="D18:D20 D25:D27 D32:D36" numberStoredAsText="1"/>
  </ignoredErrors>
  <picture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B1:N30"/>
  <sheetViews>
    <sheetView showGridLines="0" showRowColHeaders="0" tabSelected="1" zoomScaleNormal="100" workbookViewId="0">
      <selection activeCell="M12" sqref="M12"/>
    </sheetView>
  </sheetViews>
  <sheetFormatPr defaultColWidth="9.109375" defaultRowHeight="14.4" x14ac:dyDescent="0.3"/>
  <cols>
    <col min="1" max="1" width="4.33203125" style="179" customWidth="1"/>
    <col min="2" max="2" width="23.44140625" style="183" customWidth="1"/>
    <col min="3" max="10" width="10.6640625" style="184" customWidth="1"/>
    <col min="11" max="11" width="4.33203125" style="179" customWidth="1"/>
    <col min="12" max="16384" width="9.109375" style="179"/>
  </cols>
  <sheetData>
    <row r="1" spans="2:14" ht="28.5" x14ac:dyDescent="0.25">
      <c r="B1" s="469" t="s">
        <v>152</v>
      </c>
      <c r="C1" s="469"/>
      <c r="D1" s="469"/>
      <c r="E1" s="469"/>
      <c r="F1" s="469"/>
      <c r="G1" s="469"/>
      <c r="H1" s="469"/>
      <c r="I1" s="469"/>
      <c r="J1" s="469"/>
      <c r="M1" s="463"/>
      <c r="N1" s="463"/>
    </row>
    <row r="2" spans="2:14" s="182" customFormat="1" ht="6.9" customHeight="1" thickBot="1" x14ac:dyDescent="0.3">
      <c r="B2" s="180"/>
      <c r="C2" s="181"/>
      <c r="D2" s="181"/>
      <c r="E2" s="181"/>
      <c r="F2" s="181"/>
      <c r="G2" s="181"/>
      <c r="H2" s="181"/>
      <c r="I2" s="181"/>
      <c r="J2" s="181"/>
    </row>
    <row r="3" spans="2:14" ht="18" thickTop="1" x14ac:dyDescent="0.3">
      <c r="B3" s="470" t="s">
        <v>134</v>
      </c>
      <c r="C3" s="464" t="s">
        <v>135</v>
      </c>
      <c r="D3" s="465"/>
      <c r="E3" s="466" t="s">
        <v>136</v>
      </c>
      <c r="F3" s="465"/>
      <c r="G3" s="466" t="s">
        <v>137</v>
      </c>
      <c r="H3" s="465"/>
      <c r="I3" s="467" t="s">
        <v>138</v>
      </c>
      <c r="J3" s="468"/>
    </row>
    <row r="4" spans="2:14" ht="29.4" thickBot="1" x14ac:dyDescent="0.35">
      <c r="B4" s="471"/>
      <c r="C4" s="206" t="s">
        <v>186</v>
      </c>
      <c r="D4" s="207" t="s">
        <v>187</v>
      </c>
      <c r="E4" s="208" t="s">
        <v>186</v>
      </c>
      <c r="F4" s="207" t="s">
        <v>187</v>
      </c>
      <c r="G4" s="208" t="s">
        <v>186</v>
      </c>
      <c r="H4" s="207" t="s">
        <v>187</v>
      </c>
      <c r="I4" s="209" t="s">
        <v>186</v>
      </c>
      <c r="J4" s="210" t="s">
        <v>187</v>
      </c>
    </row>
    <row r="5" spans="2:14" ht="16.5" thickTop="1" x14ac:dyDescent="0.25">
      <c r="B5" s="203" t="s">
        <v>39</v>
      </c>
      <c r="C5" s="188">
        <v>45</v>
      </c>
      <c r="D5" s="189">
        <v>35</v>
      </c>
      <c r="E5" s="190">
        <v>60</v>
      </c>
      <c r="F5" s="189">
        <v>20</v>
      </c>
      <c r="G5" s="190">
        <v>75</v>
      </c>
      <c r="H5" s="189">
        <v>5</v>
      </c>
      <c r="I5" s="191">
        <v>90</v>
      </c>
      <c r="J5" s="192">
        <v>3</v>
      </c>
    </row>
    <row r="6" spans="2:14" ht="15.75" x14ac:dyDescent="0.25">
      <c r="B6" s="204" t="s">
        <v>36</v>
      </c>
      <c r="C6" s="193">
        <v>15</v>
      </c>
      <c r="D6" s="194">
        <v>50</v>
      </c>
      <c r="E6" s="195">
        <v>30</v>
      </c>
      <c r="F6" s="194">
        <v>35</v>
      </c>
      <c r="G6" s="195">
        <v>45</v>
      </c>
      <c r="H6" s="194">
        <v>20</v>
      </c>
      <c r="I6" s="196">
        <v>60</v>
      </c>
      <c r="J6" s="197">
        <v>5</v>
      </c>
    </row>
    <row r="7" spans="2:14" ht="15.75" x14ac:dyDescent="0.25">
      <c r="B7" s="204" t="s">
        <v>139</v>
      </c>
      <c r="C7" s="193">
        <v>3</v>
      </c>
      <c r="D7" s="194">
        <v>95</v>
      </c>
      <c r="E7" s="195">
        <v>5</v>
      </c>
      <c r="F7" s="194">
        <v>80</v>
      </c>
      <c r="G7" s="195">
        <v>20</v>
      </c>
      <c r="H7" s="194">
        <v>65</v>
      </c>
      <c r="I7" s="196">
        <v>35</v>
      </c>
      <c r="J7" s="197">
        <v>50</v>
      </c>
    </row>
    <row r="8" spans="2:14" ht="15.75" x14ac:dyDescent="0.25">
      <c r="B8" s="204" t="s">
        <v>140</v>
      </c>
      <c r="C8" s="193">
        <v>10</v>
      </c>
      <c r="D8" s="194">
        <v>50</v>
      </c>
      <c r="E8" s="195">
        <v>25</v>
      </c>
      <c r="F8" s="194">
        <v>35</v>
      </c>
      <c r="G8" s="195">
        <v>40</v>
      </c>
      <c r="H8" s="194">
        <v>20</v>
      </c>
      <c r="I8" s="196">
        <v>55.000000000000007</v>
      </c>
      <c r="J8" s="197">
        <v>5</v>
      </c>
    </row>
    <row r="9" spans="2:14" ht="15.75" x14ac:dyDescent="0.25">
      <c r="B9" s="204" t="s">
        <v>141</v>
      </c>
      <c r="C9" s="193">
        <v>3</v>
      </c>
      <c r="D9" s="194">
        <v>75</v>
      </c>
      <c r="E9" s="195">
        <v>10</v>
      </c>
      <c r="F9" s="194">
        <v>60</v>
      </c>
      <c r="G9" s="195">
        <v>25</v>
      </c>
      <c r="H9" s="194">
        <v>45</v>
      </c>
      <c r="I9" s="196">
        <v>40</v>
      </c>
      <c r="J9" s="197">
        <v>30</v>
      </c>
    </row>
    <row r="10" spans="2:14" ht="15.75" x14ac:dyDescent="0.25">
      <c r="B10" s="204" t="s">
        <v>121</v>
      </c>
      <c r="C10" s="193">
        <v>15</v>
      </c>
      <c r="D10" s="194">
        <v>50</v>
      </c>
      <c r="E10" s="195">
        <v>30</v>
      </c>
      <c r="F10" s="194">
        <v>35</v>
      </c>
      <c r="G10" s="195">
        <v>45</v>
      </c>
      <c r="H10" s="194">
        <v>20</v>
      </c>
      <c r="I10" s="196">
        <v>60</v>
      </c>
      <c r="J10" s="197">
        <v>5</v>
      </c>
    </row>
    <row r="11" spans="2:14" ht="15.75" x14ac:dyDescent="0.25">
      <c r="B11" s="204" t="s">
        <v>123</v>
      </c>
      <c r="C11" s="193">
        <v>3</v>
      </c>
      <c r="D11" s="194">
        <v>65</v>
      </c>
      <c r="E11" s="195">
        <v>15</v>
      </c>
      <c r="F11" s="194">
        <v>50</v>
      </c>
      <c r="G11" s="195">
        <v>30</v>
      </c>
      <c r="H11" s="194">
        <v>35</v>
      </c>
      <c r="I11" s="196">
        <v>45</v>
      </c>
      <c r="J11" s="197">
        <v>20</v>
      </c>
    </row>
    <row r="12" spans="2:14" ht="15.75" x14ac:dyDescent="0.25">
      <c r="B12" s="204" t="s">
        <v>142</v>
      </c>
      <c r="C12" s="193">
        <v>45</v>
      </c>
      <c r="D12" s="194">
        <v>30</v>
      </c>
      <c r="E12" s="195">
        <v>60</v>
      </c>
      <c r="F12" s="194">
        <v>15</v>
      </c>
      <c r="G12" s="195">
        <v>75</v>
      </c>
      <c r="H12" s="194">
        <v>3</v>
      </c>
      <c r="I12" s="196">
        <v>90</v>
      </c>
      <c r="J12" s="197">
        <v>3</v>
      </c>
    </row>
    <row r="13" spans="2:14" ht="16.5" thickBot="1" x14ac:dyDescent="0.3">
      <c r="B13" s="205" t="s">
        <v>143</v>
      </c>
      <c r="C13" s="198">
        <v>15</v>
      </c>
      <c r="D13" s="199">
        <v>75</v>
      </c>
      <c r="E13" s="200">
        <v>30</v>
      </c>
      <c r="F13" s="199">
        <v>60</v>
      </c>
      <c r="G13" s="200">
        <v>45</v>
      </c>
      <c r="H13" s="199">
        <v>45</v>
      </c>
      <c r="I13" s="201">
        <v>60</v>
      </c>
      <c r="J13" s="202">
        <v>30</v>
      </c>
    </row>
    <row r="14" spans="2:14" ht="6.9" customHeight="1" thickTop="1" thickBot="1" x14ac:dyDescent="0.3">
      <c r="B14" s="180" t="s">
        <v>144</v>
      </c>
      <c r="C14" s="181"/>
      <c r="D14" s="181"/>
      <c r="E14" s="181"/>
      <c r="F14" s="181"/>
      <c r="G14" s="181"/>
      <c r="H14" s="181"/>
      <c r="I14" s="181"/>
      <c r="J14" s="181"/>
    </row>
    <row r="15" spans="2:14" ht="18" thickTop="1" x14ac:dyDescent="0.3">
      <c r="B15" s="470" t="s">
        <v>145</v>
      </c>
      <c r="C15" s="464" t="s">
        <v>135</v>
      </c>
      <c r="D15" s="465"/>
      <c r="E15" s="466" t="s">
        <v>136</v>
      </c>
      <c r="F15" s="465"/>
      <c r="G15" s="466" t="s">
        <v>137</v>
      </c>
      <c r="H15" s="465"/>
      <c r="I15" s="467" t="s">
        <v>138</v>
      </c>
      <c r="J15" s="468"/>
    </row>
    <row r="16" spans="2:14" ht="29.4" thickBot="1" x14ac:dyDescent="0.35">
      <c r="B16" s="471"/>
      <c r="C16" s="206" t="s">
        <v>186</v>
      </c>
      <c r="D16" s="207" t="s">
        <v>187</v>
      </c>
      <c r="E16" s="208" t="s">
        <v>186</v>
      </c>
      <c r="F16" s="207" t="s">
        <v>187</v>
      </c>
      <c r="G16" s="208" t="s">
        <v>186</v>
      </c>
      <c r="H16" s="207" t="s">
        <v>187</v>
      </c>
      <c r="I16" s="209" t="s">
        <v>186</v>
      </c>
      <c r="J16" s="210" t="s">
        <v>187</v>
      </c>
    </row>
    <row r="17" spans="2:10" ht="16.5" thickTop="1" x14ac:dyDescent="0.25">
      <c r="B17" s="203" t="s">
        <v>39</v>
      </c>
      <c r="C17" s="188">
        <v>40</v>
      </c>
      <c r="D17" s="189">
        <v>50</v>
      </c>
      <c r="E17" s="190">
        <v>55.000000000000007</v>
      </c>
      <c r="F17" s="189">
        <v>25</v>
      </c>
      <c r="G17" s="190">
        <v>70</v>
      </c>
      <c r="H17" s="189">
        <v>10</v>
      </c>
      <c r="I17" s="191">
        <v>85</v>
      </c>
      <c r="J17" s="192">
        <v>3</v>
      </c>
    </row>
    <row r="18" spans="2:10" ht="15.75" x14ac:dyDescent="0.25">
      <c r="B18" s="204" t="s">
        <v>36</v>
      </c>
      <c r="C18" s="193">
        <v>10</v>
      </c>
      <c r="D18" s="194">
        <v>55.000000000000007</v>
      </c>
      <c r="E18" s="195">
        <v>25</v>
      </c>
      <c r="F18" s="194">
        <v>40</v>
      </c>
      <c r="G18" s="195">
        <v>50</v>
      </c>
      <c r="H18" s="194">
        <v>25</v>
      </c>
      <c r="I18" s="196">
        <v>65</v>
      </c>
      <c r="J18" s="197">
        <v>10</v>
      </c>
    </row>
    <row r="19" spans="2:10" ht="15.75" x14ac:dyDescent="0.25">
      <c r="B19" s="204" t="s">
        <v>139</v>
      </c>
      <c r="C19" s="193">
        <v>3</v>
      </c>
      <c r="D19" s="194">
        <v>97</v>
      </c>
      <c r="E19" s="195">
        <v>3</v>
      </c>
      <c r="F19" s="194">
        <v>85</v>
      </c>
      <c r="G19" s="195">
        <v>15</v>
      </c>
      <c r="H19" s="194">
        <v>70</v>
      </c>
      <c r="I19" s="196">
        <v>30</v>
      </c>
      <c r="J19" s="197">
        <v>55.000000000000007</v>
      </c>
    </row>
    <row r="20" spans="2:10" ht="15.75" x14ac:dyDescent="0.25">
      <c r="B20" s="204" t="s">
        <v>143</v>
      </c>
      <c r="C20" s="193">
        <v>10</v>
      </c>
      <c r="D20" s="194">
        <v>80</v>
      </c>
      <c r="E20" s="195">
        <v>25</v>
      </c>
      <c r="F20" s="194">
        <v>65</v>
      </c>
      <c r="G20" s="195">
        <v>40</v>
      </c>
      <c r="H20" s="194">
        <v>50</v>
      </c>
      <c r="I20" s="196">
        <v>55.000000000000007</v>
      </c>
      <c r="J20" s="197">
        <v>35</v>
      </c>
    </row>
    <row r="21" spans="2:10" ht="16.5" thickBot="1" x14ac:dyDescent="0.3">
      <c r="B21" s="205" t="s">
        <v>146</v>
      </c>
      <c r="C21" s="198">
        <v>50</v>
      </c>
      <c r="D21" s="199">
        <v>20</v>
      </c>
      <c r="E21" s="200">
        <v>65</v>
      </c>
      <c r="F21" s="199">
        <v>5</v>
      </c>
      <c r="G21" s="200">
        <v>80</v>
      </c>
      <c r="H21" s="199">
        <v>3</v>
      </c>
      <c r="I21" s="201">
        <v>95</v>
      </c>
      <c r="J21" s="202">
        <v>3</v>
      </c>
    </row>
    <row r="22" spans="2:10" ht="6.9" customHeight="1" thickTop="1" thickBot="1" x14ac:dyDescent="0.3"/>
    <row r="23" spans="2:10" ht="18" thickTop="1" x14ac:dyDescent="0.3">
      <c r="B23" s="470" t="s">
        <v>182</v>
      </c>
      <c r="C23" s="464" t="s">
        <v>135</v>
      </c>
      <c r="D23" s="465"/>
      <c r="E23" s="466" t="s">
        <v>136</v>
      </c>
      <c r="F23" s="465"/>
      <c r="G23" s="466" t="s">
        <v>137</v>
      </c>
      <c r="H23" s="465"/>
      <c r="I23" s="467" t="s">
        <v>138</v>
      </c>
      <c r="J23" s="468"/>
    </row>
    <row r="24" spans="2:10" ht="29.4" thickBot="1" x14ac:dyDescent="0.35">
      <c r="B24" s="471"/>
      <c r="C24" s="206" t="s">
        <v>186</v>
      </c>
      <c r="D24" s="207" t="s">
        <v>187</v>
      </c>
      <c r="E24" s="208" t="s">
        <v>186</v>
      </c>
      <c r="F24" s="207" t="s">
        <v>187</v>
      </c>
      <c r="G24" s="208" t="s">
        <v>186</v>
      </c>
      <c r="H24" s="207" t="s">
        <v>187</v>
      </c>
      <c r="I24" s="209" t="s">
        <v>186</v>
      </c>
      <c r="J24" s="210" t="s">
        <v>187</v>
      </c>
    </row>
    <row r="25" spans="2:10" ht="16.5" thickTop="1" x14ac:dyDescent="0.25">
      <c r="B25" s="203" t="s">
        <v>147</v>
      </c>
      <c r="C25" s="188">
        <v>100</v>
      </c>
      <c r="D25" s="189">
        <v>5</v>
      </c>
      <c r="E25" s="190">
        <v>100</v>
      </c>
      <c r="F25" s="189">
        <v>0</v>
      </c>
      <c r="G25" s="190">
        <v>100</v>
      </c>
      <c r="H25" s="189">
        <v>0</v>
      </c>
      <c r="I25" s="191">
        <v>100</v>
      </c>
      <c r="J25" s="192">
        <v>0</v>
      </c>
    </row>
    <row r="26" spans="2:10" ht="15.75" x14ac:dyDescent="0.25">
      <c r="B26" s="204" t="s">
        <v>148</v>
      </c>
      <c r="C26" s="193">
        <v>25</v>
      </c>
      <c r="D26" s="194">
        <v>25</v>
      </c>
      <c r="E26" s="195">
        <v>40</v>
      </c>
      <c r="F26" s="194">
        <v>10</v>
      </c>
      <c r="G26" s="195">
        <v>55.000000000000007</v>
      </c>
      <c r="H26" s="194">
        <v>3</v>
      </c>
      <c r="I26" s="196">
        <v>70</v>
      </c>
      <c r="J26" s="197">
        <v>3</v>
      </c>
    </row>
    <row r="27" spans="2:10" ht="15.75" x14ac:dyDescent="0.25">
      <c r="B27" s="204" t="s">
        <v>149</v>
      </c>
      <c r="C27" s="193">
        <v>15</v>
      </c>
      <c r="D27" s="194">
        <v>30</v>
      </c>
      <c r="E27" s="195">
        <v>30</v>
      </c>
      <c r="F27" s="194">
        <v>15</v>
      </c>
      <c r="G27" s="195">
        <v>45</v>
      </c>
      <c r="H27" s="194">
        <v>3</v>
      </c>
      <c r="I27" s="196">
        <v>60</v>
      </c>
      <c r="J27" s="197">
        <v>3</v>
      </c>
    </row>
    <row r="28" spans="2:10" ht="15.75" x14ac:dyDescent="0.25">
      <c r="B28" s="204" t="s">
        <v>150</v>
      </c>
      <c r="C28" s="193">
        <v>25</v>
      </c>
      <c r="D28" s="194">
        <v>25</v>
      </c>
      <c r="E28" s="195">
        <v>40</v>
      </c>
      <c r="F28" s="194">
        <v>10</v>
      </c>
      <c r="G28" s="195">
        <v>55.000000000000007</v>
      </c>
      <c r="H28" s="194">
        <v>3</v>
      </c>
      <c r="I28" s="196">
        <v>70</v>
      </c>
      <c r="J28" s="197">
        <v>3</v>
      </c>
    </row>
    <row r="29" spans="2:10" ht="16.5" thickBot="1" x14ac:dyDescent="0.3">
      <c r="B29" s="205" t="s">
        <v>151</v>
      </c>
      <c r="C29" s="198">
        <v>10</v>
      </c>
      <c r="D29" s="199">
        <v>20</v>
      </c>
      <c r="E29" s="200">
        <v>25</v>
      </c>
      <c r="F29" s="199">
        <v>5</v>
      </c>
      <c r="G29" s="200">
        <v>40</v>
      </c>
      <c r="H29" s="199">
        <v>3</v>
      </c>
      <c r="I29" s="201">
        <v>55.000000000000007</v>
      </c>
      <c r="J29" s="202">
        <v>3</v>
      </c>
    </row>
    <row r="30" spans="2:10" ht="15.75" thickTop="1" x14ac:dyDescent="0.25">
      <c r="B30" s="180"/>
      <c r="C30" s="185"/>
      <c r="D30" s="185"/>
      <c r="E30" s="185"/>
      <c r="F30" s="185"/>
      <c r="G30" s="185"/>
      <c r="H30" s="185"/>
      <c r="I30" s="185"/>
      <c r="J30" s="185"/>
    </row>
  </sheetData>
  <sheetProtection password="8D19" sheet="1" objects="1" scenarios="1"/>
  <mergeCells count="17">
    <mergeCell ref="B23:B24"/>
    <mergeCell ref="C23:D23"/>
    <mergeCell ref="E23:F23"/>
    <mergeCell ref="G23:H23"/>
    <mergeCell ref="I23:J23"/>
    <mergeCell ref="M1:N1"/>
    <mergeCell ref="C15:D15"/>
    <mergeCell ref="E15:F15"/>
    <mergeCell ref="G15:H15"/>
    <mergeCell ref="I15:J15"/>
    <mergeCell ref="B1:J1"/>
    <mergeCell ref="C3:D3"/>
    <mergeCell ref="E3:F3"/>
    <mergeCell ref="G3:H3"/>
    <mergeCell ref="I3:J3"/>
    <mergeCell ref="B3:B4"/>
    <mergeCell ref="B15:B16"/>
  </mergeCells>
  <printOptions horizontalCentered="1"/>
  <pageMargins left="0.2" right="0.2" top="0.5" bottom="0.5" header="0.3" footer="0.3"/>
  <pageSetup scale="87" orientation="portrait" r:id="rId1"/>
  <headerFooter>
    <oddFooter>&amp;Lwww.Alamaze.co&amp;RPrepared by: Frost Lord</oddFooter>
  </headerFooter>
  <picture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H50"/>
  <sheetViews>
    <sheetView showGridLines="0" showRowColHeaders="0" zoomScale="90" zoomScaleNormal="90" workbookViewId="0"/>
  </sheetViews>
  <sheetFormatPr defaultColWidth="9.109375" defaultRowHeight="14.4" x14ac:dyDescent="0.3"/>
  <cols>
    <col min="1" max="1" width="4.6640625" style="142" customWidth="1"/>
    <col min="2" max="2" width="0.44140625" style="142" customWidth="1"/>
    <col min="3" max="3" width="15.33203125" style="158" customWidth="1"/>
    <col min="4" max="4" width="41.109375" style="142" customWidth="1"/>
    <col min="5" max="6" width="13.88671875" style="144" customWidth="1"/>
    <col min="7" max="7" width="0.44140625" style="142" customWidth="1"/>
    <col min="8" max="8" width="4.6640625" style="142" customWidth="1"/>
    <col min="9" max="16384" width="9.109375" style="142"/>
  </cols>
  <sheetData>
    <row r="1" spans="2:8" ht="18" customHeight="1" x14ac:dyDescent="0.25">
      <c r="B1" s="475" t="s">
        <v>185</v>
      </c>
      <c r="C1" s="475"/>
      <c r="D1" s="475"/>
      <c r="E1" s="475"/>
      <c r="F1" s="475"/>
      <c r="G1" s="475"/>
    </row>
    <row r="2" spans="2:8" ht="3.9" customHeight="1" thickBot="1" x14ac:dyDescent="0.3">
      <c r="C2" s="157"/>
      <c r="D2" s="141"/>
      <c r="E2" s="141"/>
      <c r="F2" s="141"/>
    </row>
    <row r="3" spans="2:8" s="143" customFormat="1" ht="35.25" customHeight="1" thickTop="1" thickBot="1" x14ac:dyDescent="0.3">
      <c r="B3" s="159"/>
      <c r="C3" s="160" t="s">
        <v>155</v>
      </c>
      <c r="D3" s="161" t="s">
        <v>156</v>
      </c>
      <c r="E3" s="162" t="s">
        <v>157</v>
      </c>
      <c r="F3" s="163" t="s">
        <v>158</v>
      </c>
      <c r="G3" s="164"/>
      <c r="H3" s="145"/>
    </row>
    <row r="4" spans="2:8" s="145" customFormat="1" ht="3.9" customHeight="1" thickTop="1" thickBot="1" x14ac:dyDescent="0.3">
      <c r="E4" s="146"/>
      <c r="F4" s="146"/>
    </row>
    <row r="5" spans="2:8" ht="15" thickTop="1" x14ac:dyDescent="0.3">
      <c r="B5" s="165"/>
      <c r="C5" s="472" t="s">
        <v>68</v>
      </c>
      <c r="D5" s="175" t="s">
        <v>68</v>
      </c>
      <c r="E5" s="168">
        <v>250</v>
      </c>
      <c r="F5" s="169">
        <f>E5*4</f>
        <v>1000</v>
      </c>
      <c r="G5" s="151"/>
    </row>
    <row r="6" spans="2:8" x14ac:dyDescent="0.3">
      <c r="B6" s="166"/>
      <c r="C6" s="473"/>
      <c r="D6" s="176" t="s">
        <v>69</v>
      </c>
      <c r="E6" s="170">
        <v>100</v>
      </c>
      <c r="F6" s="171">
        <f t="shared" ref="F6:F40" si="0">E6*4</f>
        <v>400</v>
      </c>
      <c r="G6" s="152"/>
    </row>
    <row r="7" spans="2:8" ht="15" thickBot="1" x14ac:dyDescent="0.35">
      <c r="B7" s="167"/>
      <c r="C7" s="474"/>
      <c r="D7" s="177" t="s">
        <v>70</v>
      </c>
      <c r="E7" s="172">
        <v>50</v>
      </c>
      <c r="F7" s="173">
        <f t="shared" si="0"/>
        <v>200</v>
      </c>
      <c r="G7" s="153"/>
    </row>
    <row r="8" spans="2:8" s="145" customFormat="1" ht="3.9" customHeight="1" thickTop="1" thickBot="1" x14ac:dyDescent="0.3">
      <c r="C8" s="147"/>
      <c r="D8" s="178"/>
      <c r="E8" s="174"/>
      <c r="F8" s="174"/>
    </row>
    <row r="9" spans="2:8" ht="15" thickTop="1" x14ac:dyDescent="0.3">
      <c r="B9" s="165"/>
      <c r="C9" s="472" t="s">
        <v>183</v>
      </c>
      <c r="D9" s="175" t="s">
        <v>123</v>
      </c>
      <c r="E9" s="168">
        <v>100</v>
      </c>
      <c r="F9" s="169">
        <f t="shared" si="0"/>
        <v>400</v>
      </c>
      <c r="G9" s="151"/>
    </row>
    <row r="10" spans="2:8" x14ac:dyDescent="0.3">
      <c r="B10" s="166"/>
      <c r="C10" s="473"/>
      <c r="D10" s="176" t="s">
        <v>122</v>
      </c>
      <c r="E10" s="170">
        <v>50</v>
      </c>
      <c r="F10" s="171">
        <f t="shared" si="0"/>
        <v>200</v>
      </c>
      <c r="G10" s="152"/>
    </row>
    <row r="11" spans="2:8" x14ac:dyDescent="0.3">
      <c r="B11" s="166"/>
      <c r="C11" s="473"/>
      <c r="D11" s="176" t="s">
        <v>205</v>
      </c>
      <c r="E11" s="170">
        <v>100</v>
      </c>
      <c r="F11" s="171">
        <f t="shared" si="0"/>
        <v>400</v>
      </c>
      <c r="G11" s="152"/>
    </row>
    <row r="12" spans="2:8" ht="15" thickBot="1" x14ac:dyDescent="0.35">
      <c r="B12" s="167"/>
      <c r="C12" s="474"/>
      <c r="D12" s="177" t="s">
        <v>159</v>
      </c>
      <c r="E12" s="172">
        <v>50</v>
      </c>
      <c r="F12" s="173">
        <f t="shared" si="0"/>
        <v>200</v>
      </c>
      <c r="G12" s="153"/>
    </row>
    <row r="13" spans="2:8" s="145" customFormat="1" ht="3.9" customHeight="1" thickTop="1" thickBot="1" x14ac:dyDescent="0.3">
      <c r="C13" s="147"/>
      <c r="D13" s="178"/>
      <c r="E13" s="174"/>
      <c r="F13" s="174"/>
    </row>
    <row r="14" spans="2:8" ht="15" thickTop="1" x14ac:dyDescent="0.3">
      <c r="B14" s="165"/>
      <c r="C14" s="472" t="s">
        <v>160</v>
      </c>
      <c r="D14" s="175" t="s">
        <v>161</v>
      </c>
      <c r="E14" s="168">
        <v>100</v>
      </c>
      <c r="F14" s="169">
        <f t="shared" si="0"/>
        <v>400</v>
      </c>
      <c r="G14" s="151"/>
    </row>
    <row r="15" spans="2:8" x14ac:dyDescent="0.3">
      <c r="B15" s="166"/>
      <c r="C15" s="473"/>
      <c r="D15" s="176" t="s">
        <v>162</v>
      </c>
      <c r="E15" s="170">
        <v>50</v>
      </c>
      <c r="F15" s="171">
        <f t="shared" si="0"/>
        <v>200</v>
      </c>
      <c r="G15" s="152"/>
    </row>
    <row r="16" spans="2:8" x14ac:dyDescent="0.3">
      <c r="B16" s="166"/>
      <c r="C16" s="473"/>
      <c r="D16" s="176" t="s">
        <v>163</v>
      </c>
      <c r="E16" s="170">
        <v>75</v>
      </c>
      <c r="F16" s="171">
        <f t="shared" si="0"/>
        <v>300</v>
      </c>
      <c r="G16" s="152"/>
    </row>
    <row r="17" spans="2:7" x14ac:dyDescent="0.3">
      <c r="B17" s="166"/>
      <c r="C17" s="473"/>
      <c r="D17" s="176" t="s">
        <v>164</v>
      </c>
      <c r="E17" s="170">
        <v>50</v>
      </c>
      <c r="F17" s="171">
        <f t="shared" si="0"/>
        <v>200</v>
      </c>
      <c r="G17" s="152"/>
    </row>
    <row r="18" spans="2:7" ht="15" thickBot="1" x14ac:dyDescent="0.35">
      <c r="B18" s="167"/>
      <c r="C18" s="474"/>
      <c r="D18" s="177" t="s">
        <v>165</v>
      </c>
      <c r="E18" s="172">
        <v>25</v>
      </c>
      <c r="F18" s="173">
        <f t="shared" si="0"/>
        <v>100</v>
      </c>
      <c r="G18" s="153"/>
    </row>
    <row r="19" spans="2:7" s="145" customFormat="1" ht="3.9" customHeight="1" thickTop="1" thickBot="1" x14ac:dyDescent="0.3">
      <c r="C19" s="147"/>
      <c r="D19" s="178"/>
      <c r="E19" s="174"/>
      <c r="F19" s="174"/>
    </row>
    <row r="20" spans="2:7" ht="15" thickTop="1" x14ac:dyDescent="0.3">
      <c r="B20" s="165"/>
      <c r="C20" s="472" t="s">
        <v>166</v>
      </c>
      <c r="D20" s="175" t="s">
        <v>167</v>
      </c>
      <c r="E20" s="168">
        <v>100</v>
      </c>
      <c r="F20" s="169">
        <f t="shared" si="0"/>
        <v>400</v>
      </c>
      <c r="G20" s="151"/>
    </row>
    <row r="21" spans="2:7" x14ac:dyDescent="0.3">
      <c r="B21" s="166"/>
      <c r="C21" s="473"/>
      <c r="D21" s="176" t="s">
        <v>168</v>
      </c>
      <c r="E21" s="170">
        <v>50</v>
      </c>
      <c r="F21" s="171">
        <f t="shared" si="0"/>
        <v>200</v>
      </c>
      <c r="G21" s="152"/>
    </row>
    <row r="22" spans="2:7" x14ac:dyDescent="0.3">
      <c r="B22" s="166"/>
      <c r="C22" s="473"/>
      <c r="D22" s="176" t="s">
        <v>169</v>
      </c>
      <c r="E22" s="170">
        <v>50</v>
      </c>
      <c r="F22" s="171">
        <f t="shared" si="0"/>
        <v>200</v>
      </c>
      <c r="G22" s="152"/>
    </row>
    <row r="23" spans="2:7" x14ac:dyDescent="0.3">
      <c r="B23" s="166"/>
      <c r="C23" s="473"/>
      <c r="D23" s="176" t="s">
        <v>188</v>
      </c>
      <c r="E23" s="170">
        <v>200</v>
      </c>
      <c r="F23" s="171">
        <v>400</v>
      </c>
      <c r="G23" s="152"/>
    </row>
    <row r="24" spans="2:7" ht="15" thickBot="1" x14ac:dyDescent="0.35">
      <c r="B24" s="167"/>
      <c r="C24" s="474"/>
      <c r="D24" s="177" t="s">
        <v>184</v>
      </c>
      <c r="E24" s="172">
        <v>-100</v>
      </c>
      <c r="F24" s="173">
        <f t="shared" si="0"/>
        <v>-400</v>
      </c>
      <c r="G24" s="153"/>
    </row>
    <row r="25" spans="2:7" s="145" customFormat="1" ht="3.9" customHeight="1" thickTop="1" thickBot="1" x14ac:dyDescent="0.3">
      <c r="C25" s="147"/>
      <c r="D25" s="178"/>
      <c r="E25" s="174"/>
      <c r="F25" s="174"/>
    </row>
    <row r="26" spans="2:7" ht="15" thickTop="1" x14ac:dyDescent="0.3">
      <c r="B26" s="165"/>
      <c r="C26" s="472" t="s">
        <v>170</v>
      </c>
      <c r="D26" s="175" t="s">
        <v>189</v>
      </c>
      <c r="E26" s="168">
        <v>100</v>
      </c>
      <c r="F26" s="169">
        <f t="shared" si="0"/>
        <v>400</v>
      </c>
      <c r="G26" s="151"/>
    </row>
    <row r="27" spans="2:7" x14ac:dyDescent="0.3">
      <c r="B27" s="166"/>
      <c r="C27" s="473"/>
      <c r="D27" s="176" t="s">
        <v>190</v>
      </c>
      <c r="E27" s="170">
        <v>50</v>
      </c>
      <c r="F27" s="171">
        <f t="shared" si="0"/>
        <v>200</v>
      </c>
      <c r="G27" s="152"/>
    </row>
    <row r="28" spans="2:7" x14ac:dyDescent="0.3">
      <c r="B28" s="166"/>
      <c r="C28" s="473"/>
      <c r="D28" s="176" t="s">
        <v>191</v>
      </c>
      <c r="E28" s="212">
        <f>0.25*F28</f>
        <v>37.5</v>
      </c>
      <c r="F28" s="171">
        <v>150</v>
      </c>
      <c r="G28" s="152"/>
    </row>
    <row r="29" spans="2:7" x14ac:dyDescent="0.3">
      <c r="B29" s="166"/>
      <c r="C29" s="473"/>
      <c r="D29" s="176" t="s">
        <v>192</v>
      </c>
      <c r="E29" s="212">
        <f t="shared" ref="E29:E36" si="1">0.25*F29</f>
        <v>33.75</v>
      </c>
      <c r="F29" s="171">
        <v>135</v>
      </c>
      <c r="G29" s="152"/>
    </row>
    <row r="30" spans="2:7" x14ac:dyDescent="0.3">
      <c r="B30" s="166"/>
      <c r="C30" s="473"/>
      <c r="D30" s="176" t="s">
        <v>193</v>
      </c>
      <c r="E30" s="170">
        <f t="shared" si="1"/>
        <v>30</v>
      </c>
      <c r="F30" s="171">
        <v>120</v>
      </c>
      <c r="G30" s="152"/>
    </row>
    <row r="31" spans="2:7" x14ac:dyDescent="0.3">
      <c r="B31" s="166"/>
      <c r="C31" s="473"/>
      <c r="D31" s="176" t="s">
        <v>194</v>
      </c>
      <c r="E31" s="170">
        <v>27</v>
      </c>
      <c r="F31" s="171">
        <v>105</v>
      </c>
      <c r="G31" s="152"/>
    </row>
    <row r="32" spans="2:7" x14ac:dyDescent="0.3">
      <c r="B32" s="166"/>
      <c r="C32" s="473"/>
      <c r="D32" s="176" t="s">
        <v>195</v>
      </c>
      <c r="E32" s="212">
        <f t="shared" si="1"/>
        <v>22.5</v>
      </c>
      <c r="F32" s="171">
        <v>90</v>
      </c>
      <c r="G32" s="152"/>
    </row>
    <row r="33" spans="2:7" x14ac:dyDescent="0.3">
      <c r="B33" s="166"/>
      <c r="C33" s="473"/>
      <c r="D33" s="176" t="s">
        <v>196</v>
      </c>
      <c r="E33" s="212">
        <f t="shared" si="1"/>
        <v>18.75</v>
      </c>
      <c r="F33" s="171">
        <v>75</v>
      </c>
      <c r="G33" s="152"/>
    </row>
    <row r="34" spans="2:7" x14ac:dyDescent="0.3">
      <c r="B34" s="166"/>
      <c r="C34" s="473"/>
      <c r="D34" s="176" t="s">
        <v>197</v>
      </c>
      <c r="E34" s="170">
        <v>12</v>
      </c>
      <c r="F34" s="171">
        <v>45</v>
      </c>
      <c r="G34" s="152"/>
    </row>
    <row r="35" spans="2:7" x14ac:dyDescent="0.3">
      <c r="B35" s="166"/>
      <c r="C35" s="473"/>
      <c r="D35" s="176" t="s">
        <v>198</v>
      </c>
      <c r="E35" s="212">
        <f t="shared" si="1"/>
        <v>7.5</v>
      </c>
      <c r="F35" s="171">
        <v>30</v>
      </c>
      <c r="G35" s="152"/>
    </row>
    <row r="36" spans="2:7" x14ac:dyDescent="0.3">
      <c r="B36" s="166"/>
      <c r="C36" s="473"/>
      <c r="D36" s="176" t="s">
        <v>199</v>
      </c>
      <c r="E36" s="212">
        <f t="shared" si="1"/>
        <v>3.75</v>
      </c>
      <c r="F36" s="171">
        <v>15</v>
      </c>
      <c r="G36" s="152"/>
    </row>
    <row r="37" spans="2:7" ht="15" thickBot="1" x14ac:dyDescent="0.35">
      <c r="B37" s="167"/>
      <c r="C37" s="474"/>
      <c r="D37" s="177" t="s">
        <v>200</v>
      </c>
      <c r="E37" s="172" t="s">
        <v>204</v>
      </c>
      <c r="F37" s="173" t="s">
        <v>203</v>
      </c>
      <c r="G37" s="153"/>
    </row>
    <row r="38" spans="2:7" s="145" customFormat="1" ht="3.9" customHeight="1" thickTop="1" thickBot="1" x14ac:dyDescent="0.3">
      <c r="C38" s="147"/>
      <c r="D38" s="178"/>
      <c r="E38" s="174"/>
      <c r="F38" s="174"/>
    </row>
    <row r="39" spans="2:7" ht="15" thickTop="1" x14ac:dyDescent="0.3">
      <c r="B39" s="165"/>
      <c r="C39" s="472" t="s">
        <v>171</v>
      </c>
      <c r="D39" s="175" t="s">
        <v>172</v>
      </c>
      <c r="E39" s="168">
        <v>100</v>
      </c>
      <c r="F39" s="169">
        <f t="shared" si="0"/>
        <v>400</v>
      </c>
      <c r="G39" s="151"/>
    </row>
    <row r="40" spans="2:7" ht="15" thickBot="1" x14ac:dyDescent="0.35">
      <c r="B40" s="167"/>
      <c r="C40" s="474"/>
      <c r="D40" s="177" t="s">
        <v>173</v>
      </c>
      <c r="E40" s="172">
        <v>100</v>
      </c>
      <c r="F40" s="173">
        <f t="shared" si="0"/>
        <v>400</v>
      </c>
      <c r="G40" s="153"/>
    </row>
    <row r="41" spans="2:7" s="145" customFormat="1" ht="3.9" customHeight="1" thickTop="1" thickBot="1" x14ac:dyDescent="0.3">
      <c r="C41" s="147"/>
      <c r="D41" s="178"/>
      <c r="E41" s="174"/>
      <c r="F41" s="174"/>
    </row>
    <row r="42" spans="2:7" ht="15" thickTop="1" x14ac:dyDescent="0.3">
      <c r="B42" s="165"/>
      <c r="C42" s="472" t="s">
        <v>174</v>
      </c>
      <c r="D42" s="175" t="s">
        <v>175</v>
      </c>
      <c r="E42" s="168">
        <v>200</v>
      </c>
      <c r="F42" s="186" t="s">
        <v>180</v>
      </c>
      <c r="G42" s="151"/>
    </row>
    <row r="43" spans="2:7" x14ac:dyDescent="0.3">
      <c r="B43" s="166"/>
      <c r="C43" s="473"/>
      <c r="D43" s="176" t="s">
        <v>176</v>
      </c>
      <c r="E43" s="170">
        <v>300</v>
      </c>
      <c r="F43" s="187" t="s">
        <v>180</v>
      </c>
      <c r="G43" s="152"/>
    </row>
    <row r="44" spans="2:7" x14ac:dyDescent="0.3">
      <c r="B44" s="166"/>
      <c r="C44" s="473"/>
      <c r="D44" s="176" t="s">
        <v>177</v>
      </c>
      <c r="E44" s="170">
        <v>400</v>
      </c>
      <c r="F44" s="187" t="s">
        <v>180</v>
      </c>
      <c r="G44" s="152"/>
    </row>
    <row r="45" spans="2:7" ht="15" thickBot="1" x14ac:dyDescent="0.35">
      <c r="B45" s="167"/>
      <c r="C45" s="474"/>
      <c r="D45" s="177" t="s">
        <v>178</v>
      </c>
      <c r="E45" s="155" t="s">
        <v>180</v>
      </c>
      <c r="F45" s="173">
        <v>1000</v>
      </c>
      <c r="G45" s="153"/>
    </row>
    <row r="46" spans="2:7" s="145" customFormat="1" ht="3.9" customHeight="1" thickTop="1" thickBot="1" x14ac:dyDescent="0.3">
      <c r="C46" s="147"/>
      <c r="D46" s="178"/>
      <c r="E46" s="174"/>
      <c r="F46" s="174"/>
    </row>
    <row r="47" spans="2:7" ht="15" thickTop="1" x14ac:dyDescent="0.3">
      <c r="B47" s="165"/>
      <c r="C47" s="472" t="s">
        <v>179</v>
      </c>
      <c r="D47" s="175" t="s">
        <v>202</v>
      </c>
      <c r="E47" s="154" t="s">
        <v>180</v>
      </c>
      <c r="F47" s="169">
        <v>5000</v>
      </c>
      <c r="G47" s="151"/>
    </row>
    <row r="48" spans="2:7" x14ac:dyDescent="0.3">
      <c r="B48" s="166"/>
      <c r="C48" s="473"/>
      <c r="D48" s="176" t="s">
        <v>181</v>
      </c>
      <c r="E48" s="211" t="s">
        <v>180</v>
      </c>
      <c r="F48" s="171">
        <v>3000</v>
      </c>
      <c r="G48" s="152"/>
    </row>
    <row r="49" spans="2:7" ht="15" thickBot="1" x14ac:dyDescent="0.35">
      <c r="B49" s="167"/>
      <c r="C49" s="474"/>
      <c r="D49" s="177" t="s">
        <v>201</v>
      </c>
      <c r="E49" s="155" t="s">
        <v>180</v>
      </c>
      <c r="F49" s="173">
        <v>1000</v>
      </c>
      <c r="G49" s="153"/>
    </row>
    <row r="50" spans="2:7" s="148" customFormat="1" ht="6.9" customHeight="1" thickTop="1" x14ac:dyDescent="0.3">
      <c r="C50" s="156"/>
      <c r="D50" s="149"/>
      <c r="E50" s="150"/>
      <c r="F50" s="150"/>
    </row>
  </sheetData>
  <sheetProtection password="D953" sheet="1" objects="1" scenarios="1"/>
  <mergeCells count="9">
    <mergeCell ref="C26:C37"/>
    <mergeCell ref="C39:C40"/>
    <mergeCell ref="C42:C45"/>
    <mergeCell ref="C47:C49"/>
    <mergeCell ref="B1:G1"/>
    <mergeCell ref="C5:C7"/>
    <mergeCell ref="C9:C12"/>
    <mergeCell ref="C14:C18"/>
    <mergeCell ref="C20:C24"/>
  </mergeCells>
  <printOptions horizontalCentered="1"/>
  <pageMargins left="0.2" right="0.2" top="0.5" bottom="0.5" header="0.3" footer="0.3"/>
  <pageSetup orientation="portrait" r:id="rId1"/>
  <headerFooter>
    <oddFooter>&amp;Lwww.Alamaze.co&amp;RPrepared by: Frost Lord</oddFooter>
  </headerFooter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Misc. Charts</vt:lpstr>
      <vt:lpstr>170-171 Calculator</vt:lpstr>
      <vt:lpstr>320-330 Calculator</vt:lpstr>
      <vt:lpstr>Unusual Sighting Calculator</vt:lpstr>
      <vt:lpstr>Agent Proficiency</vt:lpstr>
      <vt:lpstr>Status Points</vt:lpstr>
      <vt:lpstr>'170-171 Calculator'!Print_Area</vt:lpstr>
      <vt:lpstr>'320-330 Calculator'!Print_Area</vt:lpstr>
      <vt:lpstr>'Agent Proficiency'!Print_Area</vt:lpstr>
      <vt:lpstr>'Misc. Charts'!Print_Area</vt:lpstr>
      <vt:lpstr>'Unusual Sighting Calculator'!Print_Area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Frost</dc:creator>
  <cp:lastModifiedBy>Owner</cp:lastModifiedBy>
  <cp:lastPrinted>2015-05-23T22:33:37Z</cp:lastPrinted>
  <dcterms:created xsi:type="dcterms:W3CDTF">2015-02-02T13:27:22Z</dcterms:created>
  <dcterms:modified xsi:type="dcterms:W3CDTF">2015-05-31T16:16:08Z</dcterms:modified>
</cp:coreProperties>
</file>