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ISKSTATION\Games\Alamaze\3rd Cycle Stuff\Player Aid\"/>
    </mc:Choice>
  </mc:AlternateContent>
  <bookViews>
    <workbookView xWindow="0" yWindow="0" windowWidth="23760" windowHeight="12165" tabRatio="681"/>
  </bookViews>
  <sheets>
    <sheet name="Misc. Charts" sheetId="7" r:id="rId1"/>
    <sheet name="Unusual Sighting Calculator" sheetId="9" r:id="rId2"/>
    <sheet name="320-330 Calculator" sheetId="8" r:id="rId3"/>
    <sheet name="170-171 Calculator" sheetId="1" r:id="rId4"/>
    <sheet name="Agent Probability Calculator" sheetId="5" r:id="rId5"/>
    <sheet name="Kingdom Traits Matrix" sheetId="2" r:id="rId6"/>
    <sheet name="Status Points" sheetId="6" r:id="rId7"/>
  </sheets>
  <definedNames>
    <definedName name="_xlnm._FilterDatabase" localSheetId="5" hidden="1">'Kingdom Traits Matrix'!$B$30:$AM$60</definedName>
    <definedName name="_xlnm.Print_Area" localSheetId="3">'170-171 Calculator'!$A$1:$L$54</definedName>
    <definedName name="_xlnm.Print_Area" localSheetId="2">'320-330 Calculator'!$A$1:$L$52</definedName>
    <definedName name="_xlnm.Print_Area" localSheetId="4">'Agent Probability Calculator'!$A$1:$O$41</definedName>
    <definedName name="_xlnm.Print_Area" localSheetId="5">'Kingdom Traits Matrix'!$A$1:$AN$60</definedName>
    <definedName name="_xlnm.Print_Area" localSheetId="0">'Misc. Charts'!$A$1:$P$39</definedName>
    <definedName name="_xlnm.Print_Area" localSheetId="1">'Unusual Sighting Calculator'!$A$1:$W$37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85" i="8" l="1"/>
  <c r="Q84" i="8"/>
  <c r="Q83" i="8"/>
  <c r="Q82" i="8"/>
  <c r="Q81" i="8"/>
  <c r="Q76" i="8"/>
  <c r="Q75" i="8"/>
  <c r="Q74" i="8"/>
  <c r="Q73" i="8"/>
  <c r="Q72" i="8"/>
  <c r="K42" i="8"/>
  <c r="N42" i="8" s="1"/>
  <c r="K41" i="8"/>
  <c r="N41" i="8" s="1"/>
  <c r="K40" i="8"/>
  <c r="N40" i="8" s="1"/>
  <c r="K39" i="8"/>
  <c r="N39" i="8" s="1"/>
  <c r="K38" i="8"/>
  <c r="N38" i="8" s="1"/>
  <c r="K32" i="8"/>
  <c r="N32" i="8" s="1"/>
  <c r="K31" i="8"/>
  <c r="N31" i="8" s="1"/>
  <c r="K30" i="8"/>
  <c r="N30" i="8" s="1"/>
  <c r="K29" i="8"/>
  <c r="N29" i="8" s="1"/>
  <c r="K28" i="8"/>
  <c r="N28" i="8" s="1"/>
  <c r="K32" i="1"/>
  <c r="N32" i="1" s="1"/>
  <c r="K31" i="1"/>
  <c r="N31" i="1" s="1"/>
  <c r="K30" i="1"/>
  <c r="N30" i="1" s="1"/>
  <c r="K29" i="1"/>
  <c r="N29" i="1" s="1"/>
  <c r="K28" i="1"/>
  <c r="N28" i="1" s="1"/>
  <c r="K42" i="1"/>
  <c r="K41" i="1"/>
  <c r="K40" i="1"/>
  <c r="K39" i="1"/>
  <c r="K38" i="1"/>
  <c r="O94" i="1"/>
  <c r="O93" i="1"/>
  <c r="O92" i="1"/>
  <c r="O91" i="1"/>
  <c r="O90" i="1"/>
  <c r="O87" i="1"/>
  <c r="O86" i="1"/>
  <c r="O85" i="1"/>
  <c r="O84" i="1"/>
  <c r="O83" i="1"/>
  <c r="J24" i="9" l="1"/>
  <c r="J23" i="9"/>
  <c r="J22" i="9"/>
  <c r="J25" i="9" s="1"/>
  <c r="AB13" i="9" l="1"/>
  <c r="AB20" i="9" l="1"/>
  <c r="AB19" i="9"/>
  <c r="AB18" i="9"/>
  <c r="AB17" i="9"/>
  <c r="AB16" i="9"/>
  <c r="AB15" i="9"/>
  <c r="AB14" i="9"/>
  <c r="Q83" i="1" l="1"/>
  <c r="T75" i="8"/>
  <c r="T72" i="8"/>
  <c r="S32" i="9" l="1"/>
  <c r="V89" i="5" l="1"/>
  <c r="W89" i="5" s="1"/>
  <c r="X89" i="5" l="1"/>
  <c r="Y89" i="5" s="1"/>
  <c r="S33" i="9" l="1"/>
  <c r="S36" i="9"/>
  <c r="AB26" i="9"/>
  <c r="AD3" i="9"/>
  <c r="AB3" i="9"/>
  <c r="AB10" i="9"/>
  <c r="AB9" i="9"/>
  <c r="AB8" i="9"/>
  <c r="AI51" i="9" l="1"/>
  <c r="AJ45" i="9"/>
  <c r="AJ44" i="9"/>
  <c r="AJ43" i="9"/>
  <c r="AJ42" i="9"/>
  <c r="AJ41" i="9"/>
  <c r="AJ40" i="9"/>
  <c r="AJ39" i="9"/>
  <c r="AJ38" i="9"/>
  <c r="AJ37" i="9"/>
  <c r="AJ36" i="9"/>
  <c r="G25" i="9"/>
  <c r="H4" i="9"/>
  <c r="AI48" i="9" l="1"/>
  <c r="S35" i="9"/>
  <c r="AG74" i="9"/>
  <c r="AG71" i="9"/>
  <c r="AG72" i="9"/>
  <c r="B4" i="5"/>
  <c r="AI71" i="9" l="1"/>
  <c r="C23" i="9"/>
  <c r="E26" i="9" s="1"/>
  <c r="AH72" i="9"/>
  <c r="AI72" i="9"/>
  <c r="AL72" i="9"/>
  <c r="AK72" i="9"/>
  <c r="AJ72" i="9"/>
  <c r="AH74" i="9"/>
  <c r="AK74" i="9"/>
  <c r="AL74" i="9"/>
  <c r="AI74" i="9"/>
  <c r="AJ74" i="9"/>
  <c r="AK71" i="9"/>
  <c r="AL71" i="9"/>
  <c r="AJ71" i="9"/>
  <c r="AH71" i="9"/>
  <c r="V90" i="5"/>
  <c r="W90" i="5" s="1"/>
  <c r="V88" i="5"/>
  <c r="W88" i="5" s="1"/>
  <c r="V32" i="5" s="1"/>
  <c r="V87" i="5"/>
  <c r="W87" i="5" s="1"/>
  <c r="AA25" i="5"/>
  <c r="Z25" i="5"/>
  <c r="Y25" i="5"/>
  <c r="X25" i="5"/>
  <c r="W25" i="5"/>
  <c r="V25" i="5"/>
  <c r="U25" i="5"/>
  <c r="T25" i="5"/>
  <c r="S25" i="5"/>
  <c r="R25" i="5"/>
  <c r="AA21" i="5"/>
  <c r="Z21" i="5"/>
  <c r="Y21" i="5"/>
  <c r="X21" i="5"/>
  <c r="W21" i="5"/>
  <c r="V21" i="5"/>
  <c r="U21" i="5"/>
  <c r="T21" i="5"/>
  <c r="S21" i="5"/>
  <c r="R21" i="5"/>
  <c r="AF12" i="5" l="1"/>
  <c r="AI13" i="5"/>
  <c r="AC13" i="5"/>
  <c r="AF14" i="5"/>
  <c r="AI21" i="5"/>
  <c r="L21" i="5" s="1"/>
  <c r="AC21" i="5"/>
  <c r="F21" i="5" s="1"/>
  <c r="AF22" i="5"/>
  <c r="AI23" i="5"/>
  <c r="AC23" i="5"/>
  <c r="AF24" i="5"/>
  <c r="AI25" i="5"/>
  <c r="L25" i="5" s="1"/>
  <c r="AC25" i="5"/>
  <c r="F25" i="5" s="1"/>
  <c r="AF32" i="5"/>
  <c r="AB24" i="5"/>
  <c r="AB12" i="5"/>
  <c r="AB23" i="5"/>
  <c r="AD12" i="5"/>
  <c r="AJ14" i="5"/>
  <c r="AG21" i="5"/>
  <c r="J21" i="5" s="1"/>
  <c r="AJ22" i="5"/>
  <c r="AG23" i="5"/>
  <c r="AD24" i="5"/>
  <c r="AJ32" i="5"/>
  <c r="AB22" i="5"/>
  <c r="AE23" i="5"/>
  <c r="AE25" i="5"/>
  <c r="H25" i="5" s="1"/>
  <c r="AB14" i="5"/>
  <c r="AG14" i="5"/>
  <c r="AG22" i="5"/>
  <c r="AG24" i="5"/>
  <c r="AD25" i="5"/>
  <c r="AB25" i="5"/>
  <c r="E25" i="5" s="1"/>
  <c r="AK12" i="5"/>
  <c r="AE12" i="5"/>
  <c r="AH13" i="5"/>
  <c r="AK14" i="5"/>
  <c r="AE14" i="5"/>
  <c r="AH21" i="5"/>
  <c r="K21" i="5" s="1"/>
  <c r="AK22" i="5"/>
  <c r="AE22" i="5"/>
  <c r="AH23" i="5"/>
  <c r="AK24" i="5"/>
  <c r="AE24" i="5"/>
  <c r="AH25" i="5"/>
  <c r="K25" i="5" s="1"/>
  <c r="AK32" i="5"/>
  <c r="AE32" i="5"/>
  <c r="AJ12" i="5"/>
  <c r="AG13" i="5"/>
  <c r="AD14" i="5"/>
  <c r="AD22" i="5"/>
  <c r="AJ24" i="5"/>
  <c r="AG25" i="5"/>
  <c r="J25" i="5" s="1"/>
  <c r="AD32" i="5"/>
  <c r="AK23" i="5"/>
  <c r="AK25" i="5"/>
  <c r="N25" i="5" s="1"/>
  <c r="AB32" i="5"/>
  <c r="AJ13" i="5"/>
  <c r="AJ21" i="5"/>
  <c r="M21" i="5" s="1"/>
  <c r="AJ23" i="5"/>
  <c r="AJ25" i="5"/>
  <c r="M25" i="5" s="1"/>
  <c r="AI12" i="5"/>
  <c r="AC12" i="5"/>
  <c r="AF13" i="5"/>
  <c r="AI14" i="5"/>
  <c r="AC14" i="5"/>
  <c r="AF21" i="5"/>
  <c r="I21" i="5" s="1"/>
  <c r="AI22" i="5"/>
  <c r="AC22" i="5"/>
  <c r="AF23" i="5"/>
  <c r="AI24" i="5"/>
  <c r="AC24" i="5"/>
  <c r="AF25" i="5"/>
  <c r="I25" i="5" s="1"/>
  <c r="AI32" i="5"/>
  <c r="AC32" i="5"/>
  <c r="AB21" i="5"/>
  <c r="AH12" i="5"/>
  <c r="AK13" i="5"/>
  <c r="AE13" i="5"/>
  <c r="AH14" i="5"/>
  <c r="AK21" i="5"/>
  <c r="N21" i="5" s="1"/>
  <c r="AE21" i="5"/>
  <c r="AH22" i="5"/>
  <c r="AH24" i="5"/>
  <c r="AH32" i="5"/>
  <c r="AG12" i="5"/>
  <c r="AD13" i="5"/>
  <c r="AD21" i="5"/>
  <c r="AD23" i="5"/>
  <c r="AG32" i="5"/>
  <c r="AB13" i="5"/>
  <c r="T12" i="5"/>
  <c r="AA32" i="5"/>
  <c r="X12" i="5"/>
  <c r="S12" i="5"/>
  <c r="Y12" i="5"/>
  <c r="Z12" i="5"/>
  <c r="R12" i="5"/>
  <c r="W32" i="5"/>
  <c r="G21" i="5"/>
  <c r="R32" i="5"/>
  <c r="H21" i="5"/>
  <c r="U12" i="5"/>
  <c r="Y32" i="5"/>
  <c r="V12" i="5"/>
  <c r="T32" i="5"/>
  <c r="Z32" i="5"/>
  <c r="G25" i="5"/>
  <c r="X32" i="5"/>
  <c r="AA12" i="5"/>
  <c r="S32" i="5"/>
  <c r="E21" i="5"/>
  <c r="X90" i="5"/>
  <c r="Y90" i="5" s="1"/>
  <c r="W12" i="5"/>
  <c r="U32" i="5"/>
  <c r="W91" i="5"/>
  <c r="X87" i="5"/>
  <c r="Y87" i="5" s="1"/>
  <c r="X88" i="5"/>
  <c r="Y88" i="5" s="1"/>
  <c r="AG73" i="9"/>
  <c r="S27" i="9"/>
  <c r="E12" i="5" l="1"/>
  <c r="X91" i="5"/>
  <c r="V91" i="5" s="1"/>
  <c r="J32" i="5"/>
  <c r="L32" i="5"/>
  <c r="AH73" i="9"/>
  <c r="AK73" i="9"/>
  <c r="AK75" i="9" s="1"/>
  <c r="AJ73" i="9"/>
  <c r="AJ75" i="9" s="1"/>
  <c r="AI73" i="9"/>
  <c r="AI75" i="9" s="1"/>
  <c r="AL73" i="9"/>
  <c r="AL75" i="9" s="1"/>
  <c r="F32" i="5"/>
  <c r="H32" i="5"/>
  <c r="I32" i="5"/>
  <c r="N12" i="5"/>
  <c r="M12" i="5"/>
  <c r="G12" i="5"/>
  <c r="M32" i="5"/>
  <c r="G32" i="5"/>
  <c r="E32" i="5"/>
  <c r="N32" i="5"/>
  <c r="K32" i="5"/>
  <c r="I12" i="5"/>
  <c r="K12" i="5"/>
  <c r="J12" i="5"/>
  <c r="H12" i="5"/>
  <c r="L12" i="5"/>
  <c r="F12" i="5"/>
  <c r="AI52" i="9"/>
  <c r="AI50" i="9"/>
  <c r="AI49" i="9"/>
  <c r="AB11" i="9" l="1"/>
  <c r="AB12" i="9"/>
  <c r="AM25" i="9"/>
  <c r="AM19" i="9"/>
  <c r="AM13" i="9"/>
  <c r="AM7" i="9"/>
  <c r="AM22" i="9"/>
  <c r="AM16" i="9"/>
  <c r="AM10" i="9"/>
  <c r="AM4" i="9"/>
  <c r="AM24" i="9"/>
  <c r="AM18" i="9"/>
  <c r="AM12" i="9"/>
  <c r="AM6" i="9"/>
  <c r="AM23" i="9"/>
  <c r="AM17" i="9"/>
  <c r="AM11" i="9"/>
  <c r="AM5" i="9"/>
  <c r="AM21" i="9"/>
  <c r="AM15" i="9"/>
  <c r="AM9" i="9"/>
  <c r="AM3" i="9"/>
  <c r="AM20" i="9"/>
  <c r="AM14" i="9"/>
  <c r="AM8" i="9"/>
  <c r="AM2" i="9"/>
  <c r="AG7" i="9"/>
  <c r="AG13" i="9"/>
  <c r="AG19" i="9"/>
  <c r="AG25" i="9"/>
  <c r="AG9" i="9"/>
  <c r="AG21" i="9"/>
  <c r="AG4" i="9"/>
  <c r="AG10" i="9"/>
  <c r="AG22" i="9"/>
  <c r="AG12" i="9"/>
  <c r="AG24" i="9"/>
  <c r="AG8" i="9"/>
  <c r="AG14" i="9"/>
  <c r="AG20" i="9"/>
  <c r="AG2" i="9"/>
  <c r="AG3" i="9"/>
  <c r="AB7" i="9" s="1"/>
  <c r="AG15" i="9"/>
  <c r="AG16" i="9"/>
  <c r="AG5" i="9"/>
  <c r="AG11" i="9"/>
  <c r="AG17" i="9"/>
  <c r="AG23" i="9"/>
  <c r="AG6" i="9"/>
  <c r="AG18" i="9"/>
  <c r="AK18" i="9"/>
  <c r="AK5" i="9"/>
  <c r="AK15" i="9"/>
  <c r="AK2" i="9"/>
  <c r="AK7" i="9"/>
  <c r="AK17" i="9"/>
  <c r="AK4" i="9"/>
  <c r="AK14" i="9"/>
  <c r="AK25" i="9"/>
  <c r="AK12" i="9"/>
  <c r="AK22" i="9"/>
  <c r="AK9" i="9"/>
  <c r="AK19" i="9"/>
  <c r="AK6" i="9"/>
  <c r="AK16" i="9"/>
  <c r="AK3" i="9"/>
  <c r="AK13" i="9"/>
  <c r="AK23" i="9"/>
  <c r="AK10" i="9"/>
  <c r="AK20" i="9"/>
  <c r="AK24" i="9"/>
  <c r="AK11" i="9"/>
  <c r="AK21" i="9"/>
  <c r="AK8" i="9"/>
  <c r="AL3" i="9"/>
  <c r="AL9" i="9"/>
  <c r="AL15" i="9"/>
  <c r="AL21" i="9"/>
  <c r="AL11" i="9"/>
  <c r="AL23" i="9"/>
  <c r="AL6" i="9"/>
  <c r="AL12" i="9"/>
  <c r="AL24" i="9"/>
  <c r="AL14" i="9"/>
  <c r="AL2" i="9"/>
  <c r="AL4" i="9"/>
  <c r="AL10" i="9"/>
  <c r="AL16" i="9"/>
  <c r="AL22" i="9"/>
  <c r="AL5" i="9"/>
  <c r="AL17" i="9"/>
  <c r="AL18" i="9"/>
  <c r="AL7" i="9"/>
  <c r="AL13" i="9"/>
  <c r="AL19" i="9"/>
  <c r="AL25" i="9"/>
  <c r="AL8" i="9"/>
  <c r="AL20" i="9"/>
  <c r="B5" i="5"/>
  <c r="AH75" i="9"/>
  <c r="P60" i="1"/>
  <c r="AG75" i="9" l="1"/>
  <c r="S28" i="9" s="1"/>
  <c r="AB6" i="9"/>
  <c r="AB42" i="9"/>
  <c r="AB41" i="9"/>
  <c r="AB40" i="9"/>
  <c r="AC42" i="9"/>
  <c r="AC41" i="9"/>
  <c r="AC40" i="9"/>
  <c r="AC45" i="9"/>
  <c r="AB45" i="9"/>
  <c r="G19" i="8"/>
  <c r="K19" i="8"/>
  <c r="T59" i="8"/>
  <c r="M30" i="9"/>
  <c r="M29" i="9"/>
  <c r="M28" i="9"/>
  <c r="AK36" i="9"/>
  <c r="M21" i="9"/>
  <c r="M20" i="9"/>
  <c r="M19" i="9"/>
  <c r="M18" i="9"/>
  <c r="M17" i="9"/>
  <c r="M16" i="9"/>
  <c r="N28" i="9" l="1"/>
  <c r="O35" i="9"/>
  <c r="N35" i="9"/>
  <c r="AC3" i="9"/>
  <c r="N30" i="9" l="1"/>
  <c r="AC23" i="9"/>
  <c r="AB23" i="9"/>
  <c r="AB29" i="9" s="1"/>
  <c r="O8" i="9" s="1"/>
  <c r="AD23" i="9"/>
  <c r="AD29" i="9" s="1"/>
  <c r="M8" i="9" s="1"/>
  <c r="O30" i="9"/>
  <c r="O29" i="9"/>
  <c r="O28" i="9"/>
  <c r="N29" i="9"/>
  <c r="N85" i="8"/>
  <c r="P85" i="8" s="1"/>
  <c r="R85" i="8" s="1"/>
  <c r="N84" i="8"/>
  <c r="P84" i="8" s="1"/>
  <c r="R84" i="8" s="1"/>
  <c r="N83" i="8"/>
  <c r="P83" i="8" s="1"/>
  <c r="R83" i="8" s="1"/>
  <c r="N82" i="8"/>
  <c r="P82" i="8" s="1"/>
  <c r="R82" i="8" s="1"/>
  <c r="N81" i="8"/>
  <c r="P81" i="8" s="1"/>
  <c r="R81" i="8" s="1"/>
  <c r="F32" i="8"/>
  <c r="F31" i="8"/>
  <c r="F30" i="8"/>
  <c r="F29" i="8"/>
  <c r="N72" i="8"/>
  <c r="P72" i="8" s="1"/>
  <c r="R72" i="8" s="1"/>
  <c r="F32" i="1"/>
  <c r="F31" i="1"/>
  <c r="F30" i="1"/>
  <c r="F29" i="1"/>
  <c r="F28" i="1"/>
  <c r="Q59" i="8"/>
  <c r="S102" i="8"/>
  <c r="S101" i="8"/>
  <c r="S100" i="8"/>
  <c r="P59" i="8"/>
  <c r="O59" i="8"/>
  <c r="N59" i="8"/>
  <c r="T56" i="8"/>
  <c r="S56" i="8"/>
  <c r="Q56" i="8"/>
  <c r="P56" i="8"/>
  <c r="R56" i="8"/>
  <c r="N42" i="1" l="1"/>
  <c r="F42" i="1" s="1"/>
  <c r="N41" i="1"/>
  <c r="F41" i="1" s="1"/>
  <c r="N38" i="1"/>
  <c r="F38" i="1" s="1"/>
  <c r="N39" i="1"/>
  <c r="F39" i="1" s="1"/>
  <c r="N40" i="1"/>
  <c r="F40" i="1" s="1"/>
  <c r="AC36" i="9"/>
  <c r="O20" i="9" s="1"/>
  <c r="AC35" i="9"/>
  <c r="O19" i="9" s="1"/>
  <c r="AB37" i="9"/>
  <c r="N21" i="9" s="1"/>
  <c r="AB36" i="9"/>
  <c r="N20" i="9" s="1"/>
  <c r="AB35" i="9"/>
  <c r="N19" i="9" s="1"/>
  <c r="AC37" i="9"/>
  <c r="O21" i="9" s="1"/>
  <c r="AC33" i="9"/>
  <c r="O17" i="9" s="1"/>
  <c r="AB33" i="9"/>
  <c r="N17" i="9" s="1"/>
  <c r="AB34" i="9"/>
  <c r="N18" i="9" s="1"/>
  <c r="AC32" i="9"/>
  <c r="O16" i="9" s="1"/>
  <c r="AB32" i="9"/>
  <c r="N16" i="9" s="1"/>
  <c r="AC34" i="9"/>
  <c r="O18" i="9" s="1"/>
  <c r="AC29" i="9"/>
  <c r="N8" i="9" s="1"/>
  <c r="N76" i="8"/>
  <c r="P76" i="8" s="1"/>
  <c r="R76" i="8" s="1"/>
  <c r="N73" i="8"/>
  <c r="P73" i="8" s="1"/>
  <c r="R73" i="8" s="1"/>
  <c r="N74" i="8"/>
  <c r="P74" i="8" s="1"/>
  <c r="R74" i="8" s="1"/>
  <c r="N75" i="8"/>
  <c r="P75" i="8" s="1"/>
  <c r="R75" i="8" s="1"/>
  <c r="F28" i="8"/>
  <c r="F38" i="8"/>
  <c r="F39" i="8"/>
  <c r="F40" i="8"/>
  <c r="F41" i="8"/>
  <c r="F42" i="8"/>
  <c r="O65" i="8"/>
  <c r="N56" i="8"/>
  <c r="Q62" i="8" s="1"/>
  <c r="C23" i="8"/>
  <c r="C21" i="8"/>
  <c r="C19" i="8"/>
  <c r="B19" i="8" s="1"/>
  <c r="O17" i="8"/>
  <c r="N17" i="8"/>
  <c r="P4" i="8"/>
  <c r="P3" i="8" s="1"/>
  <c r="O4" i="8"/>
  <c r="O3" i="8" s="1"/>
  <c r="N4" i="8"/>
  <c r="N3" i="8" s="1"/>
  <c r="Q115" i="8"/>
  <c r="Q114" i="8"/>
  <c r="Q113" i="8"/>
  <c r="Q112" i="8"/>
  <c r="Q111" i="8"/>
  <c r="Q110" i="8"/>
  <c r="Q109" i="8"/>
  <c r="Q108" i="8"/>
  <c r="Q107" i="8"/>
  <c r="Q106" i="8"/>
  <c r="Q105" i="8"/>
  <c r="Q104" i="8"/>
  <c r="Q103" i="8"/>
  <c r="Q102" i="8"/>
  <c r="Q101" i="8"/>
  <c r="Q100" i="8"/>
  <c r="Q99" i="8"/>
  <c r="Q98" i="8"/>
  <c r="Q97" i="8"/>
  <c r="Q96" i="8"/>
  <c r="Q95" i="8"/>
  <c r="Q94" i="8"/>
  <c r="Q93" i="8"/>
  <c r="Q92" i="8"/>
  <c r="P115" i="8"/>
  <c r="P114" i="8"/>
  <c r="P113" i="8"/>
  <c r="P112" i="8"/>
  <c r="P111" i="8"/>
  <c r="P110" i="8"/>
  <c r="P109" i="8"/>
  <c r="P108" i="8"/>
  <c r="P107" i="8"/>
  <c r="P106" i="8"/>
  <c r="P105" i="8"/>
  <c r="P104" i="8"/>
  <c r="P103" i="8"/>
  <c r="P102" i="8"/>
  <c r="P101" i="8"/>
  <c r="P100" i="8"/>
  <c r="P99" i="8"/>
  <c r="P98" i="8"/>
  <c r="P97" i="8"/>
  <c r="P96" i="8"/>
  <c r="P95" i="8"/>
  <c r="P94" i="8"/>
  <c r="P93" i="8"/>
  <c r="P92" i="8"/>
  <c r="T102" i="8"/>
  <c r="T101" i="8"/>
  <c r="T100" i="8"/>
  <c r="T99" i="8"/>
  <c r="T98" i="8"/>
  <c r="T97" i="8"/>
  <c r="S99" i="8"/>
  <c r="S98" i="8"/>
  <c r="S97" i="8"/>
  <c r="Q63" i="8" l="1"/>
  <c r="P61" i="8"/>
  <c r="O61" i="8"/>
  <c r="P17" i="8"/>
  <c r="I17" i="8" s="1"/>
  <c r="Q3" i="8"/>
  <c r="Q4" i="8" s="1"/>
  <c r="I4" i="8" s="1"/>
  <c r="B23" i="8"/>
  <c r="B21" i="8"/>
  <c r="B17" i="8"/>
  <c r="B15" i="8"/>
  <c r="B10" i="8"/>
  <c r="B8" i="8"/>
  <c r="B6" i="8"/>
  <c r="B4" i="8"/>
  <c r="O62" i="8" l="1"/>
  <c r="O63" i="8"/>
  <c r="P62" i="8"/>
  <c r="P63" i="8"/>
  <c r="N78" i="8"/>
  <c r="F40" i="6"/>
  <c r="F39" i="6"/>
  <c r="E37" i="6"/>
  <c r="E36" i="6"/>
  <c r="E35" i="6"/>
  <c r="E34" i="6"/>
  <c r="E33" i="6"/>
  <c r="E31" i="6"/>
  <c r="E30" i="6"/>
  <c r="E29" i="6"/>
  <c r="F28" i="6"/>
  <c r="F27" i="6"/>
  <c r="F25" i="6"/>
  <c r="F23" i="6"/>
  <c r="F22" i="6"/>
  <c r="F21" i="6"/>
  <c r="F19" i="6"/>
  <c r="F18" i="6"/>
  <c r="F17" i="6"/>
  <c r="F15" i="6"/>
  <c r="F14" i="6"/>
  <c r="F12" i="6"/>
  <c r="F11" i="6"/>
  <c r="F10" i="6"/>
  <c r="F9" i="6"/>
  <c r="F7" i="6"/>
  <c r="F6" i="6"/>
  <c r="F5" i="6"/>
  <c r="B25" i="8" l="1"/>
  <c r="R78" i="8"/>
  <c r="R59" i="8" s="1"/>
  <c r="E9" i="5"/>
  <c r="E10" i="5"/>
  <c r="E11" i="5"/>
  <c r="F11" i="5"/>
  <c r="G11" i="5"/>
  <c r="H11" i="5"/>
  <c r="I11" i="5"/>
  <c r="J11" i="5"/>
  <c r="K11" i="5"/>
  <c r="L11" i="5"/>
  <c r="M11" i="5"/>
  <c r="N11" i="5"/>
  <c r="E18" i="5"/>
  <c r="E19" i="5"/>
  <c r="E20" i="5"/>
  <c r="F20" i="5"/>
  <c r="G20" i="5"/>
  <c r="H20" i="5"/>
  <c r="I20" i="5"/>
  <c r="J20" i="5"/>
  <c r="K20" i="5"/>
  <c r="L20" i="5"/>
  <c r="M20" i="5"/>
  <c r="N20" i="5"/>
  <c r="E29" i="5"/>
  <c r="E30" i="5"/>
  <c r="E31" i="5"/>
  <c r="F31" i="5"/>
  <c r="G31" i="5"/>
  <c r="H31" i="5"/>
  <c r="I31" i="5"/>
  <c r="J31" i="5"/>
  <c r="K31" i="5"/>
  <c r="L31" i="5"/>
  <c r="M31" i="5"/>
  <c r="N31" i="5"/>
  <c r="W44" i="5"/>
  <c r="X44" i="5"/>
  <c r="AA44" i="5"/>
  <c r="AB44" i="5"/>
  <c r="W45" i="5"/>
  <c r="X45" i="5"/>
  <c r="AA45" i="5"/>
  <c r="AB45" i="5"/>
  <c r="AE45" i="5"/>
  <c r="AF45" i="5"/>
  <c r="W46" i="5"/>
  <c r="X46" i="5"/>
  <c r="AA46" i="5"/>
  <c r="AB46" i="5"/>
  <c r="AE46" i="5"/>
  <c r="AF46" i="5"/>
  <c r="W47" i="5"/>
  <c r="X47" i="5"/>
  <c r="AA47" i="5"/>
  <c r="AB47" i="5"/>
  <c r="AE47" i="5"/>
  <c r="AF47" i="5"/>
  <c r="W48" i="5"/>
  <c r="X48" i="5"/>
  <c r="AA48" i="5"/>
  <c r="AB48" i="5"/>
  <c r="AE48" i="5"/>
  <c r="AF48" i="5"/>
  <c r="W49" i="5"/>
  <c r="X49" i="5"/>
  <c r="AA49" i="5"/>
  <c r="AB49" i="5"/>
  <c r="AE49" i="5"/>
  <c r="AF49" i="5"/>
  <c r="W50" i="5"/>
  <c r="X50" i="5"/>
  <c r="AA50" i="5"/>
  <c r="AB50" i="5"/>
  <c r="AE50" i="5"/>
  <c r="AF50" i="5"/>
  <c r="W51" i="5"/>
  <c r="X51" i="5"/>
  <c r="AA51" i="5"/>
  <c r="AB51" i="5"/>
  <c r="AE51" i="5"/>
  <c r="AF51" i="5"/>
  <c r="W52" i="5"/>
  <c r="X52" i="5"/>
  <c r="AA52" i="5"/>
  <c r="AB52" i="5"/>
  <c r="AE52" i="5"/>
  <c r="AF52" i="5"/>
  <c r="W53" i="5"/>
  <c r="X53" i="5"/>
  <c r="AA53" i="5"/>
  <c r="AB53" i="5"/>
  <c r="AE53" i="5"/>
  <c r="AF53" i="5"/>
  <c r="W54" i="5"/>
  <c r="X54" i="5"/>
  <c r="AA54" i="5"/>
  <c r="AB54" i="5"/>
  <c r="AE54" i="5"/>
  <c r="AF54" i="5"/>
  <c r="W55" i="5"/>
  <c r="X55" i="5"/>
  <c r="AA55" i="5"/>
  <c r="AB55" i="5"/>
  <c r="AE55" i="5"/>
  <c r="AF55" i="5"/>
  <c r="W56" i="5"/>
  <c r="X56" i="5"/>
  <c r="AA56" i="5"/>
  <c r="AB56" i="5"/>
  <c r="AE56" i="5"/>
  <c r="AF56" i="5"/>
  <c r="W57" i="5"/>
  <c r="X57" i="5"/>
  <c r="AA57" i="5"/>
  <c r="AB57" i="5"/>
  <c r="W58" i="5"/>
  <c r="X58" i="5"/>
  <c r="AA58" i="5"/>
  <c r="AB58" i="5"/>
  <c r="W59" i="5"/>
  <c r="X59" i="5"/>
  <c r="AA59" i="5"/>
  <c r="AB59" i="5"/>
  <c r="W60" i="5"/>
  <c r="X60" i="5"/>
  <c r="AA60" i="5"/>
  <c r="AB60" i="5"/>
  <c r="W61" i="5"/>
  <c r="X61" i="5"/>
  <c r="AA61" i="5"/>
  <c r="AB61" i="5"/>
  <c r="W62" i="5"/>
  <c r="X62" i="5"/>
  <c r="AA62" i="5"/>
  <c r="AB62" i="5"/>
  <c r="W66" i="5"/>
  <c r="X66" i="5"/>
  <c r="AA66" i="5"/>
  <c r="AB66" i="5"/>
  <c r="W67" i="5"/>
  <c r="X67" i="5"/>
  <c r="AA67" i="5"/>
  <c r="AB67" i="5"/>
  <c r="W68" i="5"/>
  <c r="X68" i="5"/>
  <c r="AA68" i="5"/>
  <c r="AB68" i="5"/>
  <c r="W69" i="5"/>
  <c r="X69" i="5"/>
  <c r="AA69" i="5"/>
  <c r="AB69" i="5"/>
  <c r="W70" i="5"/>
  <c r="X70" i="5"/>
  <c r="AA70" i="5"/>
  <c r="AB70" i="5"/>
  <c r="W71" i="5"/>
  <c r="X71" i="5"/>
  <c r="AA71" i="5"/>
  <c r="AB71" i="5"/>
  <c r="W72" i="5"/>
  <c r="X72" i="5"/>
  <c r="AA72" i="5"/>
  <c r="AB72" i="5"/>
  <c r="W73" i="5"/>
  <c r="X73" i="5"/>
  <c r="AA73" i="5"/>
  <c r="AB73" i="5"/>
  <c r="W74" i="5"/>
  <c r="X74" i="5"/>
  <c r="AA74" i="5"/>
  <c r="AB74" i="5"/>
  <c r="W75" i="5"/>
  <c r="X75" i="5"/>
  <c r="AA75" i="5"/>
  <c r="AB75" i="5"/>
  <c r="W76" i="5"/>
  <c r="X76" i="5"/>
  <c r="AA76" i="5"/>
  <c r="AB76" i="5"/>
  <c r="W77" i="5"/>
  <c r="X77" i="5"/>
  <c r="AA77" i="5"/>
  <c r="AB77" i="5"/>
  <c r="W78" i="5"/>
  <c r="X78" i="5"/>
  <c r="AA78" i="5"/>
  <c r="AB78" i="5"/>
  <c r="W79" i="5"/>
  <c r="X79" i="5"/>
  <c r="AA79" i="5"/>
  <c r="AB79" i="5"/>
  <c r="W80" i="5"/>
  <c r="X80" i="5"/>
  <c r="AA80" i="5"/>
  <c r="AB80" i="5"/>
  <c r="W81" i="5"/>
  <c r="X81" i="5"/>
  <c r="AA81" i="5"/>
  <c r="AB81" i="5"/>
  <c r="W82" i="5"/>
  <c r="X82" i="5"/>
  <c r="AA82" i="5"/>
  <c r="AB82" i="5"/>
  <c r="W83" i="5"/>
  <c r="X83" i="5"/>
  <c r="AA83" i="5"/>
  <c r="AB83" i="5"/>
  <c r="W84" i="5"/>
  <c r="X84" i="5"/>
  <c r="AA84" i="5"/>
  <c r="AB84" i="5"/>
  <c r="AA14" i="5" l="1"/>
  <c r="X14" i="5"/>
  <c r="W14" i="5"/>
  <c r="J14" i="5" s="1"/>
  <c r="Y14" i="5"/>
  <c r="L14" i="5" s="1"/>
  <c r="S14" i="5"/>
  <c r="F14" i="5" s="1"/>
  <c r="V14" i="5"/>
  <c r="I14" i="5" s="1"/>
  <c r="R14" i="5"/>
  <c r="U14" i="5"/>
  <c r="T14" i="5"/>
  <c r="Z14" i="5"/>
  <c r="M14" i="5" s="1"/>
  <c r="L22" i="5"/>
  <c r="K22" i="5"/>
  <c r="M22" i="5"/>
  <c r="W24" i="5"/>
  <c r="V24" i="5"/>
  <c r="U24" i="5"/>
  <c r="S24" i="5"/>
  <c r="AA24" i="5"/>
  <c r="X24" i="5"/>
  <c r="R24" i="5"/>
  <c r="Z24" i="5"/>
  <c r="T24" i="5"/>
  <c r="Y24" i="5"/>
  <c r="AA23" i="5"/>
  <c r="U23" i="5"/>
  <c r="Z23" i="5"/>
  <c r="T23" i="5"/>
  <c r="Y23" i="5"/>
  <c r="V23" i="5"/>
  <c r="S23" i="5"/>
  <c r="X23" i="5"/>
  <c r="K23" i="5" s="1"/>
  <c r="R23" i="5"/>
  <c r="W23" i="5"/>
  <c r="Y13" i="5"/>
  <c r="R13" i="5"/>
  <c r="E13" i="5" s="1"/>
  <c r="U13" i="5"/>
  <c r="S13" i="5"/>
  <c r="F13" i="5" s="1"/>
  <c r="Z13" i="5"/>
  <c r="M13" i="5" s="1"/>
  <c r="W13" i="5"/>
  <c r="V13" i="5"/>
  <c r="I13" i="5" s="1"/>
  <c r="X13" i="5"/>
  <c r="AA13" i="5"/>
  <c r="N13" i="5" s="1"/>
  <c r="T13" i="5"/>
  <c r="G13" i="5" s="1"/>
  <c r="Y22" i="5"/>
  <c r="S22" i="5"/>
  <c r="X22" i="5"/>
  <c r="W22" i="5"/>
  <c r="J22" i="5" s="1"/>
  <c r="AA22" i="5"/>
  <c r="N22" i="5" s="1"/>
  <c r="U22" i="5"/>
  <c r="Z22" i="5"/>
  <c r="T22" i="5"/>
  <c r="R22" i="5"/>
  <c r="E22" i="5" s="1"/>
  <c r="V22" i="5"/>
  <c r="W82" i="1"/>
  <c r="W81" i="1"/>
  <c r="W80" i="1"/>
  <c r="W79" i="1"/>
  <c r="W78" i="1"/>
  <c r="W77" i="1"/>
  <c r="W76" i="1"/>
  <c r="W75" i="1"/>
  <c r="W74" i="1"/>
  <c r="W73" i="1"/>
  <c r="W72" i="1"/>
  <c r="W71" i="1"/>
  <c r="W70" i="1"/>
  <c r="W69" i="1"/>
  <c r="W68" i="1"/>
  <c r="W67" i="1"/>
  <c r="W66" i="1"/>
  <c r="W65" i="1"/>
  <c r="W64" i="1"/>
  <c r="W63" i="1"/>
  <c r="W62" i="1"/>
  <c r="W61" i="1"/>
  <c r="W60" i="1"/>
  <c r="W59" i="1"/>
  <c r="V82" i="1"/>
  <c r="V81" i="1"/>
  <c r="V80" i="1"/>
  <c r="V79" i="1"/>
  <c r="V78" i="1"/>
  <c r="V77" i="1"/>
  <c r="V76" i="1"/>
  <c r="V75" i="1"/>
  <c r="V74" i="1"/>
  <c r="V73" i="1"/>
  <c r="V72" i="1"/>
  <c r="V71" i="1"/>
  <c r="V70" i="1"/>
  <c r="V69" i="1"/>
  <c r="V68" i="1"/>
  <c r="V67" i="1"/>
  <c r="V66" i="1"/>
  <c r="V65" i="1"/>
  <c r="V64" i="1"/>
  <c r="V63" i="1"/>
  <c r="V62" i="1"/>
  <c r="V61" i="1"/>
  <c r="V60" i="1"/>
  <c r="V59" i="1"/>
  <c r="O15" i="1"/>
  <c r="N15" i="1"/>
  <c r="N87" i="1"/>
  <c r="S87" i="1" s="1"/>
  <c r="P87" i="1" s="1"/>
  <c r="N86" i="1"/>
  <c r="S86" i="1" s="1"/>
  <c r="P86" i="1" s="1"/>
  <c r="N85" i="1"/>
  <c r="S85" i="1" s="1"/>
  <c r="P85" i="1" s="1"/>
  <c r="N84" i="1"/>
  <c r="S84" i="1" s="1"/>
  <c r="P84" i="1" s="1"/>
  <c r="N83" i="1"/>
  <c r="S83" i="1" s="1"/>
  <c r="P83" i="1" s="1"/>
  <c r="N94" i="1"/>
  <c r="Q94" i="1" s="1"/>
  <c r="P94" i="1" s="1"/>
  <c r="N93" i="1"/>
  <c r="Q93" i="1" s="1"/>
  <c r="P93" i="1" s="1"/>
  <c r="N92" i="1"/>
  <c r="Q92" i="1" s="1"/>
  <c r="P92" i="1" s="1"/>
  <c r="N91" i="1"/>
  <c r="Q91" i="1" s="1"/>
  <c r="P91" i="1" s="1"/>
  <c r="N90" i="1"/>
  <c r="Q90" i="1" s="1"/>
  <c r="P90" i="1" s="1"/>
  <c r="E24" i="5" l="1"/>
  <c r="M24" i="5"/>
  <c r="E23" i="5"/>
  <c r="G23" i="5"/>
  <c r="J13" i="5"/>
  <c r="I22" i="5"/>
  <c r="F22" i="5"/>
  <c r="H23" i="5"/>
  <c r="N23" i="5"/>
  <c r="N14" i="5"/>
  <c r="L24" i="5"/>
  <c r="H24" i="5"/>
  <c r="K13" i="5"/>
  <c r="L23" i="5"/>
  <c r="G22" i="5"/>
  <c r="G14" i="5"/>
  <c r="J23" i="5"/>
  <c r="F23" i="5"/>
  <c r="G24" i="5"/>
  <c r="I24" i="5"/>
  <c r="H13" i="5"/>
  <c r="L13" i="5"/>
  <c r="H14" i="5"/>
  <c r="K14" i="5"/>
  <c r="I23" i="5"/>
  <c r="F24" i="5"/>
  <c r="H22" i="5"/>
  <c r="N24" i="5"/>
  <c r="E14" i="5"/>
  <c r="M23" i="5"/>
  <c r="J24" i="5"/>
  <c r="K24" i="5"/>
  <c r="N87" i="8"/>
  <c r="P15" i="1"/>
  <c r="I15" i="1" s="1"/>
  <c r="P65" i="1"/>
  <c r="O65" i="1"/>
  <c r="N65" i="1"/>
  <c r="Q60" i="1"/>
  <c r="N60" i="1"/>
  <c r="O60" i="1"/>
  <c r="B35" i="8" l="1"/>
  <c r="O53" i="8" s="1"/>
  <c r="R87" i="8"/>
  <c r="S59" i="8" s="1"/>
  <c r="O68" i="8" s="1"/>
  <c r="O62" i="1"/>
  <c r="Q62" i="1" s="1"/>
  <c r="E50" i="8" l="1"/>
  <c r="C50" i="8"/>
  <c r="P69" i="8"/>
  <c r="I50" i="8" s="1"/>
  <c r="Q68" i="8"/>
  <c r="O69" i="8"/>
  <c r="H50" i="8" s="1"/>
  <c r="P68" i="8"/>
  <c r="D50" i="8" s="1"/>
  <c r="Q69" i="8"/>
  <c r="J50" i="8" s="1"/>
  <c r="S60" i="1"/>
  <c r="R60" i="1"/>
  <c r="R83" i="1" l="1"/>
  <c r="C23" i="1"/>
  <c r="B23" i="1" s="1"/>
  <c r="C21" i="1"/>
  <c r="B21" i="1" s="1"/>
  <c r="C19" i="1"/>
  <c r="B19" i="1" s="1"/>
  <c r="C17" i="1"/>
  <c r="B17" i="1" s="1"/>
  <c r="T79" i="1" l="1"/>
  <c r="T78" i="1"/>
  <c r="T77" i="1"/>
  <c r="T76" i="1"/>
  <c r="T75" i="1"/>
  <c r="T74" i="1"/>
  <c r="S79" i="1"/>
  <c r="S78" i="1"/>
  <c r="S77" i="1"/>
  <c r="S76" i="1"/>
  <c r="S75" i="1"/>
  <c r="S74" i="1"/>
  <c r="N95" i="1" l="1"/>
  <c r="B35" i="1" s="1"/>
  <c r="P95" i="1" l="1"/>
  <c r="R65" i="1" s="1"/>
  <c r="B15" i="1"/>
  <c r="Q75" i="1" l="1"/>
  <c r="Q74" i="1"/>
  <c r="B13" i="1"/>
  <c r="B8" i="1"/>
  <c r="B6" i="1"/>
  <c r="B4" i="1"/>
  <c r="N88" i="1" l="1"/>
  <c r="P88" i="1" s="1"/>
  <c r="Q65" i="1" s="1"/>
  <c r="B25" i="1" l="1"/>
  <c r="O57" i="1" s="1"/>
  <c r="K23" i="1" l="1"/>
  <c r="K21" i="1"/>
  <c r="K19" i="1"/>
  <c r="K17" i="1"/>
  <c r="G17" i="1"/>
  <c r="I48" i="1"/>
  <c r="D48" i="1"/>
  <c r="Q68" i="1"/>
  <c r="P68" i="1"/>
  <c r="O68" i="1"/>
  <c r="P70" i="1" l="1"/>
  <c r="D53" i="1" s="1"/>
  <c r="P71" i="1"/>
  <c r="I53" i="1" s="1"/>
  <c r="Q70" i="1" l="1"/>
  <c r="E53" i="1" s="1"/>
  <c r="Q71" i="1"/>
  <c r="J53" i="1" s="1"/>
  <c r="O70" i="1"/>
  <c r="C53" i="1" s="1"/>
  <c r="O71" i="1"/>
  <c r="H53" i="1" s="1"/>
</calcChain>
</file>

<file path=xl/sharedStrings.xml><?xml version="1.0" encoding="utf-8"?>
<sst xmlns="http://schemas.openxmlformats.org/spreadsheetml/2006/main" count="1562" uniqueCount="845">
  <si>
    <r>
      <t xml:space="preserve">Calculator for </t>
    </r>
    <r>
      <rPr>
        <b/>
        <sz val="20"/>
        <color rgb="FFFFFF00"/>
        <rFont val="Calibri"/>
        <family val="2"/>
        <scheme val="minor"/>
      </rPr>
      <t xml:space="preserve">Group Parley </t>
    </r>
    <r>
      <rPr>
        <sz val="20"/>
        <color rgb="FFFFFF00"/>
        <rFont val="Calibri"/>
        <family val="2"/>
        <scheme val="minor"/>
      </rPr>
      <t xml:space="preserve">(170) and </t>
    </r>
    <r>
      <rPr>
        <b/>
        <sz val="20"/>
        <color rgb="FFFFFF00"/>
        <rFont val="Calibri"/>
        <family val="2"/>
        <scheme val="minor"/>
      </rPr>
      <t xml:space="preserve">Diplomacy </t>
    </r>
    <r>
      <rPr>
        <sz val="20"/>
        <color rgb="FFFFFF00"/>
        <rFont val="Calibri"/>
        <family val="2"/>
        <scheme val="minor"/>
      </rPr>
      <t>(171)</t>
    </r>
  </si>
  <si>
    <t>What is your Group's Value vs. Population Center ?</t>
  </si>
  <si>
    <t>Marshal</t>
  </si>
  <si>
    <t>What is your Regional Reaction in the Population Center's region ?</t>
  </si>
  <si>
    <t>Friendly</t>
  </si>
  <si>
    <t>Owned</t>
  </si>
  <si>
    <t>No</t>
  </si>
  <si>
    <t>On a Bad day</t>
  </si>
  <si>
    <t>Average day</t>
  </si>
  <si>
    <t>On a Good day</t>
  </si>
  <si>
    <t>Hidden Calculations</t>
  </si>
  <si>
    <t>Missing Answers</t>
  </si>
  <si>
    <t>Group Power</t>
  </si>
  <si>
    <t>Grp Pwr w/Wizard</t>
  </si>
  <si>
    <t>PC Resistance</t>
  </si>
  <si>
    <t>Group to PC Ratio</t>
  </si>
  <si>
    <t>Wizard to PC Ratio</t>
  </si>
  <si>
    <t>Leader Menu</t>
  </si>
  <si>
    <t>RR Menu</t>
  </si>
  <si>
    <t>PC Own Menu</t>
  </si>
  <si>
    <t>Control Menu</t>
  </si>
  <si>
    <t>Enemy Menu</t>
  </si>
  <si>
    <t>- None -</t>
  </si>
  <si>
    <t>Captain</t>
  </si>
  <si>
    <t>Tolerant</t>
  </si>
  <si>
    <t>Neutral</t>
  </si>
  <si>
    <t>General</t>
  </si>
  <si>
    <t>Suspicious</t>
  </si>
  <si>
    <t>Hostile</t>
  </si>
  <si>
    <t>Warlord</t>
  </si>
  <si>
    <t>Emissary Values</t>
  </si>
  <si>
    <t>Yes</t>
  </si>
  <si>
    <t>What is your Group's highest Ranking Leader Class ?</t>
  </si>
  <si>
    <t>SQ/SU  Menu</t>
  </si>
  <si>
    <t>Is Capital</t>
  </si>
  <si>
    <t>Amazons</t>
  </si>
  <si>
    <t>AM</t>
  </si>
  <si>
    <t>Ancient Ones</t>
  </si>
  <si>
    <t>AN</t>
  </si>
  <si>
    <t>Atlantians</t>
  </si>
  <si>
    <t>AT</t>
  </si>
  <si>
    <t>Cimmerians</t>
  </si>
  <si>
    <t>CI</t>
  </si>
  <si>
    <t>Black Dragons</t>
  </si>
  <si>
    <t>BL</t>
  </si>
  <si>
    <t>Dark Elves</t>
  </si>
  <si>
    <t>DA</t>
  </si>
  <si>
    <t>Demon Princes</t>
  </si>
  <si>
    <t>DE</t>
  </si>
  <si>
    <t>Druid</t>
  </si>
  <si>
    <t>DU</t>
  </si>
  <si>
    <t>Dwarves</t>
  </si>
  <si>
    <t>DW</t>
  </si>
  <si>
    <t>EL</t>
  </si>
  <si>
    <t>Gnome</t>
  </si>
  <si>
    <t>GN</t>
  </si>
  <si>
    <t>Halflings</t>
  </si>
  <si>
    <t>HA</t>
  </si>
  <si>
    <t>Illusionist</t>
  </si>
  <si>
    <t>IL</t>
  </si>
  <si>
    <t>Lizard King</t>
  </si>
  <si>
    <t>LI</t>
  </si>
  <si>
    <t>Necromancer</t>
  </si>
  <si>
    <t>NE</t>
  </si>
  <si>
    <t>Nomads</t>
  </si>
  <si>
    <t>NO</t>
  </si>
  <si>
    <t>Pirates</t>
  </si>
  <si>
    <t>PI</t>
  </si>
  <si>
    <t>Rangers</t>
  </si>
  <si>
    <t>RA</t>
  </si>
  <si>
    <t>Red Dragons</t>
  </si>
  <si>
    <t>RD</t>
  </si>
  <si>
    <t>Sacred Order</t>
  </si>
  <si>
    <t>SA</t>
  </si>
  <si>
    <t>Sorcerer</t>
  </si>
  <si>
    <t>SO</t>
  </si>
  <si>
    <t>Tyrant</t>
  </si>
  <si>
    <t>TY</t>
  </si>
  <si>
    <t>Underworld</t>
  </si>
  <si>
    <t>UN</t>
  </si>
  <si>
    <t>Warlock</t>
  </si>
  <si>
    <t>WA</t>
  </si>
  <si>
    <t>D2</t>
  </si>
  <si>
    <t>D1</t>
  </si>
  <si>
    <t>High Elves</t>
  </si>
  <si>
    <t>●</t>
  </si>
  <si>
    <t xml:space="preserve">KINGDOM
</t>
  </si>
  <si>
    <t>CUNNING</t>
  </si>
  <si>
    <t>ORATORY</t>
  </si>
  <si>
    <t>INDUSTRIOUS</t>
  </si>
  <si>
    <t>STALWART</t>
  </si>
  <si>
    <t>TRACKERS</t>
  </si>
  <si>
    <t>ORDER</t>
  </si>
  <si>
    <t>MILITARY TRADITION</t>
  </si>
  <si>
    <t>DEVOUT</t>
  </si>
  <si>
    <t>SEAFARING</t>
  </si>
  <si>
    <t>FLIGHT</t>
  </si>
  <si>
    <t>RUTHLESS</t>
  </si>
  <si>
    <t>RIDERS</t>
  </si>
  <si>
    <t>ADVENTURER</t>
  </si>
  <si>
    <t>HEALING</t>
  </si>
  <si>
    <t>FOREKNOWLEDGE</t>
  </si>
  <si>
    <t>TRICK OF TRADE</t>
  </si>
  <si>
    <t>SECRETIVE</t>
  </si>
  <si>
    <t>FEUDAL</t>
  </si>
  <si>
    <t>SPY NETWORK</t>
  </si>
  <si>
    <t>HEROIC</t>
  </si>
  <si>
    <t>ACUITY</t>
  </si>
  <si>
    <t>ARCHERS</t>
  </si>
  <si>
    <t>SIEGE ENGINEERING</t>
  </si>
  <si>
    <t>CHARISMA</t>
  </si>
  <si>
    <t>RICH</t>
  </si>
  <si>
    <t>Groups of this kingdom are never surprised: if that was the indication, the group is treated instead as entrenched – a much better outcome. Agents have -10 points from capture chance. Political emissaries get +5 points to success chance. Characters who are prisoners of this kingdom get 15 points added to their chance of escape.</t>
  </si>
  <si>
    <t xml:space="preserve">
</t>
  </si>
  <si>
    <t xml:space="preserve">
</t>
  </si>
  <si>
    <t>+1 Influence. A bid for an open High Council chair is elevated by 10,000 gold: a submitted bid of (for example) 30,000 gold is treated as a 40,000 gold bid.</t>
  </si>
  <si>
    <t xml:space="preserve">
</t>
  </si>
  <si>
    <t>The kingdom has a more developed societal and noble system that provides it with additional members of its noble court and additional influence. The kingdom begins with an additional Baron, Ambassador, and +1 Influence.</t>
  </si>
  <si>
    <t>Kingdom has the short name of one or more artifacts on setup. Varies by kingdom as to number and which specific artifacts.</t>
  </si>
  <si>
    <t>2 additional Standing orders allowed at onset, +1 per region controlled over standard. +3 (instead of 2) orders allowed over Influence.</t>
  </si>
  <si>
    <t>FORETHOUGHT</t>
  </si>
  <si>
    <t>Some kingdoms have the ability to reduce attrition to their groups. 3% attrition is eliminated automatically at the end of the turn to each kingdom-named brigade, e.g. Elves, and additionally the kingdom may issue a special order to a group to further reduce attrition by kingdom brigades an additional 5%. Leaders and Wizards that have a result of killed in battle get a “saving throw” which gives a 33% chance of surviving their wounds instead of being killed.</t>
  </si>
  <si>
    <t>Kingdom starts with an additional leader who is a Marshal, its leaders always advance in rank in Unusual Encounters when they don’t issue the most cautious tactic (currently “1”), and advance at a +10 point chance in all battles until reaching Marshal rank, then as normal (no bonus) for advancement. Odds of Rescue and Kidnapping success are increased 15 points and the chance of capture reduced 15 points for its agents and fanatics.</t>
  </si>
  <si>
    <t>+10% food and gold production and defensive value of all controlled PC’s. Increasing production or defenses in a PC is reduced by -1k gold and food from standard.</t>
  </si>
  <si>
    <t>Adds a Marshal to the 1st Group and a General to the 2nd Group. Leaders promote at +10 points, emerge at +10 points, and have 10 points better survivability. Brigades advance in experience at 10 points greater than others from battle experience. Warriors are worth +3 in Unusual Encounters. PC’s owned by the kingdom gain +10% to their defensive value due to the better training of the militia.</t>
  </si>
  <si>
    <t>+15% to Maintain Status Quo (#310) and Usurp Control (#330). +1 to starting Influence.</t>
  </si>
  <si>
    <t>+2 to starting Influence. Controlled PC’s have 10 points intrinsic counter espionage in addition to any agent counter espionage, and intrinsic 2 points Maintain Status Quo (so about like a Provincial Governor maintaining status quo in a Tolerant region’s PC). Research cost and Agent Training +1000 per level (i.e., a penalty due to the imposition of maintaining order).</t>
  </si>
  <si>
    <t>Intrinsic L4 Recon of group area. Detects groups in Ambush, but not invisible groups. Can locate hidden sites if ending movement on them.</t>
  </si>
  <si>
    <t>Rich kingdoms begin with an additional 30,000 gold in their starting treasury, and their starting capitals produce an additional 4000 gold per turn.</t>
  </si>
  <si>
    <t>Patrols get 32 movement points. Cavalry values for these kingdoms are higher. +1 to emissary and agent range. Groups with brigades get +2 movement points, so 22 for normal movement and 27 for forced march. Intercept range is +1 (so with kingdom base 3, Riders get 4 for intercept range). Riders have access to the Flank tactic, but kingdoms with the Riders trait (or Flight) cannot be flanked in battle.</t>
  </si>
  <si>
    <t>Cause Fear (-10% to morale of groups or -10% to PC defense). +2 points intrinsic status quo to controlled PC’s (about like a Provincial Governor Maintaining Status Quo in a tolerant region). +10 points to Threaten.</t>
  </si>
  <si>
    <t>The kingdom begins with a hidden capital and an additional L4 agent.</t>
  </si>
  <si>
    <t>Immune to Fear and Chaos. 25% reduction to harmful magic (4000 magic damage would become 3000). +15 points leader promotion and emergence, -15 points leader and wizard death (improved survivability to combat damage and kill leader / kill wizard). The militia of PC’s controlled by this kingdom are likewise Stalwart, and provide a 10% increase in PC defense.</t>
  </si>
  <si>
    <t>Gets 25% more in a trade with another kingdom that does not possess the same trait (Trick of the Trade). than the indicated amount (this does not come from the other player’s treasury). Agents have -25% to being captured (so 40% becomes 30%). Sea movements are 25% less likely to be interdicted.</t>
  </si>
  <si>
    <t>KINGDOM SPECIAL ABILITIES</t>
  </si>
  <si>
    <t>SPECIAL CHARACTER ABILITIES</t>
  </si>
  <si>
    <t xml:space="preserve">
</t>
  </si>
  <si>
    <t>Magic Resistances (33% failure when targeted) and Magic Immunities (auto failure when targeted):
    • Resistant to Sleep
    • Immune to Sleep
    • Resistant to Death Magic
    • Immune to Death Magic
    • Resistant to Battle Magic
    • Susceptible to battle magic (+33% damage from battle magic)</t>
  </si>
  <si>
    <t>DESCRIPTION OF KINGDOM TRAIT</t>
  </si>
  <si>
    <t>ZONE -</t>
  </si>
  <si>
    <t>ACUITY -</t>
  </si>
  <si>
    <t>ADVENTURER -</t>
  </si>
  <si>
    <t>ARCHERS -</t>
  </si>
  <si>
    <t>CHARISMA -</t>
  </si>
  <si>
    <t>CUNNING -</t>
  </si>
  <si>
    <t>DEVOUT -</t>
  </si>
  <si>
    <t>FEUDAL -</t>
  </si>
  <si>
    <t>FLIGHT -</t>
  </si>
  <si>
    <t>FOREKNOWLEDGE -</t>
  </si>
  <si>
    <t>FORETHOUGHT -</t>
  </si>
  <si>
    <t>HEALING -</t>
  </si>
  <si>
    <t>HEROIC -</t>
  </si>
  <si>
    <t>INDUSTRIOUS -</t>
  </si>
  <si>
    <t>MILITARY TRAD. -</t>
  </si>
  <si>
    <t>ORATORY -</t>
  </si>
  <si>
    <t>ORDER -</t>
  </si>
  <si>
    <t>RICH -</t>
  </si>
  <si>
    <t>RIDERS -</t>
  </si>
  <si>
    <t>RUTHLESS -</t>
  </si>
  <si>
    <t>SEAFARING -</t>
  </si>
  <si>
    <t>SECRETIVE -</t>
  </si>
  <si>
    <t>SIEGE ENGINEER. -</t>
  </si>
  <si>
    <t>SPY NETWORK -</t>
  </si>
  <si>
    <t>STALWART -</t>
  </si>
  <si>
    <t>TRACKERS -</t>
  </si>
  <si>
    <t>TRICK OF TRADE -</t>
  </si>
  <si>
    <t>DEATH MAGIC (R) -</t>
  </si>
  <si>
    <t>DEATH MAGIC (I) -</t>
  </si>
  <si>
    <t>BATTLE MAGIC (R) -</t>
  </si>
  <si>
    <t>BATTLE MAGIC (S) -</t>
  </si>
  <si>
    <t>- ZONE</t>
  </si>
  <si>
    <t>- ACUITY</t>
  </si>
  <si>
    <t>- ADVENTURER</t>
  </si>
  <si>
    <t>- ARCHERS</t>
  </si>
  <si>
    <t>- CHARISMA</t>
  </si>
  <si>
    <t>- CUNNING</t>
  </si>
  <si>
    <t>- DEVOUT</t>
  </si>
  <si>
    <t>- FEUDAL</t>
  </si>
  <si>
    <t>- FLIGHT</t>
  </si>
  <si>
    <t>- FOREKNOWLEDGE</t>
  </si>
  <si>
    <t>- FORETHOUGHT</t>
  </si>
  <si>
    <t>- HEALING</t>
  </si>
  <si>
    <t>- HEROIC</t>
  </si>
  <si>
    <t>- INDUSTRIOUS</t>
  </si>
  <si>
    <t>- MILITARY TRAD.</t>
  </si>
  <si>
    <t>- ORATORY</t>
  </si>
  <si>
    <t>- ORDER</t>
  </si>
  <si>
    <t>- RICH</t>
  </si>
  <si>
    <t>- RIDERS</t>
  </si>
  <si>
    <t>- RUTHLESS</t>
  </si>
  <si>
    <t>- SEAFARING</t>
  </si>
  <si>
    <t>- SECRETIVE</t>
  </si>
  <si>
    <t>- SIEGE ENGINEER.</t>
  </si>
  <si>
    <t>- SPY NETWORK</t>
  </si>
  <si>
    <t>- STALWART</t>
  </si>
  <si>
    <t>- TRACKERS</t>
  </si>
  <si>
    <t>- TRICK OF TRADE</t>
  </si>
  <si>
    <t>- DEATH MAGIC (R)</t>
  </si>
  <si>
    <t>- DEATH MAGIC (I)</t>
  </si>
  <si>
    <t>- BATTLE MAGIC (R)</t>
  </si>
  <si>
    <t>- BATTLE MAGIC (S)</t>
  </si>
  <si>
    <t>- SLEEP (RESIST)</t>
  </si>
  <si>
    <t>- SLEEP (IMMUNE)</t>
  </si>
  <si>
    <t>SLEEP (RESIST) -</t>
  </si>
  <si>
    <t>SLEEP (IMMUNE) -</t>
  </si>
  <si>
    <t>KINGDOM -</t>
  </si>
  <si>
    <t>- KINGDOM</t>
  </si>
  <si>
    <t>MAGIC RESISTANCE &amp; IMMUNITY</t>
  </si>
  <si>
    <t>Human</t>
  </si>
  <si>
    <t>Select the Population Center Owner (or Neutral).</t>
  </si>
  <si>
    <t>Order Trait (+)</t>
  </si>
  <si>
    <t>Missing SQ Info</t>
  </si>
  <si>
    <t>SQ Totals</t>
  </si>
  <si>
    <t>Missing SU Info</t>
  </si>
  <si>
    <t>SU Totals</t>
  </si>
  <si>
    <t>Ruthless Trait (+)</t>
  </si>
  <si>
    <t>Oratory Trait (*)</t>
  </si>
  <si>
    <t>Cunning Trait (*)</t>
  </si>
  <si>
    <r>
      <rPr>
        <i/>
        <sz val="10"/>
        <color rgb="FF002060"/>
        <rFont val="Calibri"/>
        <family val="2"/>
        <scheme val="minor"/>
      </rPr>
      <t xml:space="preserve">(a) </t>
    </r>
    <r>
      <rPr>
        <b/>
        <sz val="10"/>
        <color rgb="FF002060"/>
        <rFont val="Calibri"/>
        <family val="2"/>
        <scheme val="minor"/>
      </rPr>
      <t>Kingdom</t>
    </r>
  </si>
  <si>
    <r>
      <rPr>
        <i/>
        <sz val="10"/>
        <color rgb="FF002060"/>
        <rFont val="Calibri"/>
        <family val="2"/>
        <scheme val="minor"/>
      </rPr>
      <t xml:space="preserve">(b) </t>
    </r>
    <r>
      <rPr>
        <b/>
        <sz val="10"/>
        <color rgb="FF002060"/>
        <rFont val="Calibri"/>
        <family val="2"/>
        <scheme val="minor"/>
      </rPr>
      <t>Emissary</t>
    </r>
  </si>
  <si>
    <r>
      <rPr>
        <i/>
        <sz val="10"/>
        <color rgb="FF002060"/>
        <rFont val="Calibri"/>
        <family val="2"/>
        <scheme val="minor"/>
      </rPr>
      <t xml:space="preserve">(c) </t>
    </r>
    <r>
      <rPr>
        <b/>
        <sz val="10"/>
        <color rgb="FF002060"/>
        <rFont val="Calibri"/>
        <family val="2"/>
        <scheme val="minor"/>
      </rPr>
      <t>Influence</t>
    </r>
  </si>
  <si>
    <r>
      <t>If the answer is '</t>
    </r>
    <r>
      <rPr>
        <b/>
        <i/>
        <sz val="11"/>
        <color rgb="FF002060"/>
        <rFont val="Calibri"/>
        <family val="2"/>
        <scheme val="minor"/>
      </rPr>
      <t>Yes</t>
    </r>
    <r>
      <rPr>
        <i/>
        <sz val="11"/>
        <color rgb="FF002060"/>
        <rFont val="Calibri"/>
        <family val="2"/>
        <scheme val="minor"/>
      </rPr>
      <t>', then :</t>
    </r>
  </si>
  <si>
    <t>Msg:</t>
  </si>
  <si>
    <t>Ctrl+Friendly+Enemy</t>
  </si>
  <si>
    <t>Oratory Trait</t>
  </si>
  <si>
    <t>Cunning Trait</t>
  </si>
  <si>
    <t>Order Trait</t>
  </si>
  <si>
    <t>Ruthless Trait</t>
  </si>
  <si>
    <t>PC SQ Value (*)</t>
  </si>
  <si>
    <t>PC SU Value (/)</t>
  </si>
  <si>
    <t>PC Enemy Value (*)</t>
  </si>
  <si>
    <t>PC Control Value (*)</t>
  </si>
  <si>
    <t>PC Owned Value (*)</t>
  </si>
  <si>
    <t>Warlord Value (*)</t>
  </si>
  <si>
    <t>RR value (*)</t>
  </si>
  <si>
    <t>General+ Value (*)</t>
  </si>
  <si>
    <t>Modified Wizard (*)</t>
  </si>
  <si>
    <t>Text</t>
  </si>
  <si>
    <t>Item #</t>
  </si>
  <si>
    <t>SQ Emmie Menu</t>
  </si>
  <si>
    <t>SU Emmie Menu</t>
  </si>
  <si>
    <t>Main Kingdom Menu</t>
  </si>
  <si>
    <t>SQ Kingdom Menu</t>
  </si>
  <si>
    <t>SU Kingdom Menu</t>
  </si>
  <si>
    <t>Kingdom Name</t>
  </si>
  <si>
    <t>(Sorted by Zone)</t>
  </si>
  <si>
    <t>KINGDOM
TRAIT</t>
  </si>
  <si>
    <t>Did any emissaries Maintain Status Quo (#310) last turn ?</t>
  </si>
  <si>
    <t>Did any emissaries Stir Unrest (#315) last turn ?</t>
  </si>
  <si>
    <t>What is the Population Center's Defensive Value ?</t>
  </si>
  <si>
    <t xml:space="preserve">** Hinders success </t>
  </si>
  <si>
    <t xml:space="preserve">** Aids in success </t>
  </si>
  <si>
    <t>* Repeat this process for each emissary.</t>
  </si>
  <si>
    <r>
      <t>Kingdom Traits Matrix</t>
    </r>
    <r>
      <rPr>
        <b/>
        <sz val="26"/>
        <color rgb="FFFFFF00"/>
        <rFont val="Calibri"/>
        <family val="2"/>
        <scheme val="minor"/>
      </rPr>
      <t/>
    </r>
  </si>
  <si>
    <t>Bribe Prince</t>
  </si>
  <si>
    <t>Bribe Duke</t>
  </si>
  <si>
    <t>Bribe Count</t>
  </si>
  <si>
    <t>Bribe Baron</t>
  </si>
  <si>
    <t>Bribe Governor</t>
  </si>
  <si>
    <t>Bribe Ambassador</t>
  </si>
  <si>
    <t>Steal Art (Wild-Superior)</t>
  </si>
  <si>
    <t>Steal Art (Wild-Excellent)</t>
  </si>
  <si>
    <t>Steal Artifact (Wild-Fine)</t>
  </si>
  <si>
    <t>Steal Artifact (Owned)</t>
  </si>
  <si>
    <t>Learn Group Moral/Attr</t>
  </si>
  <si>
    <t>Poison Food Supply</t>
  </si>
  <si>
    <t>Trail Group</t>
  </si>
  <si>
    <t>Steal Food/Gold</t>
  </si>
  <si>
    <t>Sabotage</t>
  </si>
  <si>
    <t>Rescue Hostage</t>
  </si>
  <si>
    <t>Reconnaissance</t>
  </si>
  <si>
    <t>Base Caught</t>
  </si>
  <si>
    <t>Base Success</t>
  </si>
  <si>
    <t>&lt; Select Action &gt;</t>
  </si>
  <si>
    <t>Misc. Actions</t>
  </si>
  <si>
    <t>Fanatic Level 19</t>
  </si>
  <si>
    <t>Agent Level 19</t>
  </si>
  <si>
    <t>Fanatic Level 18</t>
  </si>
  <si>
    <t>Agent Level 18</t>
  </si>
  <si>
    <t>Fanatic Level 17</t>
  </si>
  <si>
    <t>Agent Level 17</t>
  </si>
  <si>
    <t>Fanatic Level 16</t>
  </si>
  <si>
    <t>Agent Level 16</t>
  </si>
  <si>
    <t>Fanatic Level 15</t>
  </si>
  <si>
    <t>Agent Level 15</t>
  </si>
  <si>
    <t>Fanatic Level 14</t>
  </si>
  <si>
    <t>Agent Level 14</t>
  </si>
  <si>
    <t>Fanatic Level 13</t>
  </si>
  <si>
    <t>Agent Level 13</t>
  </si>
  <si>
    <t>Fanatic Level 12</t>
  </si>
  <si>
    <t>Agent Level 12</t>
  </si>
  <si>
    <t>Fanatic Level 11</t>
  </si>
  <si>
    <t>Agent Level 11</t>
  </si>
  <si>
    <t>Fanatic Level 10</t>
  </si>
  <si>
    <t>Agent Level 10</t>
  </si>
  <si>
    <t>Priestess/Maiden</t>
  </si>
  <si>
    <t>Fanatic Level 9</t>
  </si>
  <si>
    <t>Agent Level 9</t>
  </si>
  <si>
    <t>Court Fool</t>
  </si>
  <si>
    <t>Fanatic Level 8</t>
  </si>
  <si>
    <t>Agent Level 8</t>
  </si>
  <si>
    <t>Consul/Demon Prince</t>
  </si>
  <si>
    <t>Fanatic Level 7</t>
  </si>
  <si>
    <t>Agent Level 7</t>
  </si>
  <si>
    <t>King/Regent</t>
  </si>
  <si>
    <t>Fanatic Level 6</t>
  </si>
  <si>
    <t>Agent Level 6</t>
  </si>
  <si>
    <t>Prince</t>
  </si>
  <si>
    <t>Fanatic Level 5</t>
  </si>
  <si>
    <t>Agent Level 5</t>
  </si>
  <si>
    <t>Duke</t>
  </si>
  <si>
    <t>Fanatic Level 4</t>
  </si>
  <si>
    <t>Agent Level 4</t>
  </si>
  <si>
    <t>Count</t>
  </si>
  <si>
    <t>Fanatic Level 3</t>
  </si>
  <si>
    <t>Agent Level 3</t>
  </si>
  <si>
    <t>Baron</t>
  </si>
  <si>
    <t>Fanatic Level 2</t>
  </si>
  <si>
    <t>Agent Level 2</t>
  </si>
  <si>
    <t>Governor</t>
  </si>
  <si>
    <t>Fanatic Level 1</t>
  </si>
  <si>
    <t>Agent Level 1</t>
  </si>
  <si>
    <t>Ambassador</t>
  </si>
  <si>
    <t>&lt; Kidnap Fanatic &gt;</t>
  </si>
  <si>
    <t>&lt; Kidnap Agent &gt;</t>
  </si>
  <si>
    <t>&lt; Kidnap Character &gt;</t>
  </si>
  <si>
    <t>Kidnap</t>
  </si>
  <si>
    <t>Fanatic</t>
  </si>
  <si>
    <t>Agent</t>
  </si>
  <si>
    <t>Wizard Power 12</t>
  </si>
  <si>
    <t>&lt; Select Agent or Fanatic &gt;</t>
  </si>
  <si>
    <t>Wizard Power 11</t>
  </si>
  <si>
    <t>Wizard Power 10</t>
  </si>
  <si>
    <t>Wizard Power 9</t>
  </si>
  <si>
    <t>Lord Commander</t>
  </si>
  <si>
    <t>Wizard Power 8</t>
  </si>
  <si>
    <t>Grand Marshal</t>
  </si>
  <si>
    <t>Wizard Power 7</t>
  </si>
  <si>
    <t>Wizard Power 6</t>
  </si>
  <si>
    <t>Commander</t>
  </si>
  <si>
    <t>Wizard Power 5</t>
  </si>
  <si>
    <t>Major General</t>
  </si>
  <si>
    <t>Wizard Power 4</t>
  </si>
  <si>
    <t>Wizard Power 3</t>
  </si>
  <si>
    <t>Captain Major</t>
  </si>
  <si>
    <t>Wizard Power 2</t>
  </si>
  <si>
    <t>Wizard Power 1</t>
  </si>
  <si>
    <t>Centurion</t>
  </si>
  <si>
    <t>Adept</t>
  </si>
  <si>
    <t>&lt; Assassinate Leader &gt;</t>
  </si>
  <si>
    <t>&lt; Assassinate Wizard &gt;</t>
  </si>
  <si>
    <t>&lt; Assassinate Fanatic &gt;</t>
  </si>
  <si>
    <t>&lt; Assassinate Agent &gt;</t>
  </si>
  <si>
    <t>&lt; Assassinate Character &gt;</t>
  </si>
  <si>
    <t>Amount of CE</t>
  </si>
  <si>
    <t>Assassinations</t>
  </si>
  <si>
    <t>Tables</t>
  </si>
  <si>
    <t xml:space="preserve">Other missions beyond kidnapping and assassinations come with risk as well.  To determine your odds, select the action you plan to take from the drop-down list above.
The results in each column will be your odds of a successful mission "/" and your odds of being captured while trying to make your escape. </t>
  </si>
  <si>
    <t>Miscellaneous
Actions</t>
  </si>
  <si>
    <t xml:space="preserve">Assassination attempts are difficult missions.  To determine your odds, select the Character, Agent, Fanatic, Wizard and/or Leader from the five (5) drop-down lists above.
The results in each column will be your odds of a successful mission "/" and your odds of being captured while trying to make your escape. </t>
  </si>
  <si>
    <t>Assassination
Chances</t>
  </si>
  <si>
    <t/>
  </si>
  <si>
    <t xml:space="preserve">Kidnapping is slightly easier than Assassination attempts. To determine your odds, select the Character, Agent and/or Fanatic from the three (3) drop-down lists above.
The results in each column will be your odds of a successful mission "/" and your odds of being captured while trying to make your escape. </t>
  </si>
  <si>
    <t>Kidnap Chances</t>
  </si>
  <si>
    <t>Capture</t>
  </si>
  <si>
    <t>Success</t>
  </si>
  <si>
    <t>Expected Agent Effectiveness Under Various Missions</t>
  </si>
  <si>
    <t>Status Point Awards</t>
  </si>
  <si>
    <t>Category</t>
  </si>
  <si>
    <t>Objective</t>
  </si>
  <si>
    <r>
      <t xml:space="preserve">Interim
</t>
    </r>
    <r>
      <rPr>
        <i/>
        <sz val="11"/>
        <color theme="1"/>
        <rFont val="Calibri"/>
        <family val="2"/>
        <scheme val="minor"/>
      </rPr>
      <t>T6, 12, 18, etc.</t>
    </r>
  </si>
  <si>
    <t>Game End
Points</t>
  </si>
  <si>
    <t>Control</t>
  </si>
  <si>
    <t>Substantial</t>
  </si>
  <si>
    <t>Significant</t>
  </si>
  <si>
    <t>Military</t>
  </si>
  <si>
    <t>Group with &gt;= 70k vs. PC</t>
  </si>
  <si>
    <t>Group with &gt; 50k vs. PC (and &lt; 70k)</t>
  </si>
  <si>
    <t>Magic</t>
  </si>
  <si>
    <t>P7+ Wizard</t>
  </si>
  <si>
    <t>P5-P6 Wizard</t>
  </si>
  <si>
    <t>Superior Artifact</t>
  </si>
  <si>
    <t>Excellent Artifact</t>
  </si>
  <si>
    <t>Fine Artifact</t>
  </si>
  <si>
    <t>Political</t>
  </si>
  <si>
    <t>Influence 20+</t>
  </si>
  <si>
    <t>Influence 17-19</t>
  </si>
  <si>
    <t>On the High Council</t>
  </si>
  <si>
    <t>Per active Kingdom declaring you Enemy</t>
  </si>
  <si>
    <t>Per Kingdom you declare as Ally</t>
  </si>
  <si>
    <t>Covert</t>
  </si>
  <si>
    <t>L11+ Agent or Fanatic</t>
  </si>
  <si>
    <t>L8-L10 Agent or Fanatic</t>
  </si>
  <si>
    <t>Prisoner: King/Queen/Regent</t>
  </si>
  <si>
    <t>Prisoner: Consul/Demon Prince</t>
  </si>
  <si>
    <t>Prisoner: Prince</t>
  </si>
  <si>
    <t>Prisoner: Duke</t>
  </si>
  <si>
    <t>Prisoner: Count</t>
  </si>
  <si>
    <t>Prisoner: Baron</t>
  </si>
  <si>
    <t>Prisoner: Governor</t>
  </si>
  <si>
    <t>Prisoner: Ambassador</t>
  </si>
  <si>
    <t>Prisoner: Agent/Fanatic</t>
  </si>
  <si>
    <t>Economic</t>
  </si>
  <si>
    <t>Gold Production of 150k+</t>
  </si>
  <si>
    <t>Food Production of 100k+</t>
  </si>
  <si>
    <t>Citizenship</t>
  </si>
  <si>
    <t>Active end of T12</t>
  </si>
  <si>
    <t>n/a</t>
  </si>
  <si>
    <t>Active end of T18</t>
  </si>
  <si>
    <t>Active end of T24</t>
  </si>
  <si>
    <t>Active Game End</t>
  </si>
  <si>
    <t>Victory</t>
  </si>
  <si>
    <t>Standard Rex Victory</t>
  </si>
  <si>
    <t>Usurper Victory</t>
  </si>
  <si>
    <r>
      <t xml:space="preserve">Team Victory </t>
    </r>
    <r>
      <rPr>
        <i/>
        <sz val="10"/>
        <color rgb="FF002060"/>
        <rFont val="Calibri"/>
        <family val="2"/>
        <scheme val="minor"/>
      </rPr>
      <t>(per player issuing order 997)</t>
    </r>
  </si>
  <si>
    <r>
      <rPr>
        <b/>
        <sz val="22"/>
        <color rgb="FFFFFF00"/>
        <rFont val="Calibri"/>
        <family val="2"/>
        <scheme val="minor"/>
      </rPr>
      <t>Miscellaneous Reference</t>
    </r>
    <r>
      <rPr>
        <sz val="22"/>
        <color rgb="FFFFFF00"/>
        <rFont val="Calibri"/>
        <family val="2"/>
        <scheme val="minor"/>
      </rPr>
      <t xml:space="preserve"> </t>
    </r>
    <r>
      <rPr>
        <b/>
        <sz val="22"/>
        <color rgb="FFFFFF00"/>
        <rFont val="Calibri"/>
        <family val="2"/>
        <scheme val="minor"/>
      </rPr>
      <t>Charts</t>
    </r>
    <r>
      <rPr>
        <sz val="22"/>
        <color rgb="FFFFFF00"/>
        <rFont val="Calibri"/>
        <family val="2"/>
        <scheme val="minor"/>
      </rPr>
      <t xml:space="preserve"> </t>
    </r>
    <r>
      <rPr>
        <b/>
        <sz val="22"/>
        <color rgb="FFFFFF00"/>
        <rFont val="Calibri"/>
        <family val="2"/>
        <scheme val="minor"/>
      </rPr>
      <t>for</t>
    </r>
    <r>
      <rPr>
        <sz val="22"/>
        <color rgb="FFFFFF00"/>
        <rFont val="Calibri"/>
        <family val="2"/>
        <scheme val="minor"/>
      </rPr>
      <t xml:space="preserve"> </t>
    </r>
    <r>
      <rPr>
        <b/>
        <sz val="22"/>
        <color rgb="FFFFFF00"/>
        <rFont val="Calibri"/>
        <family val="2"/>
        <scheme val="minor"/>
      </rPr>
      <t>Alamaze</t>
    </r>
  </si>
  <si>
    <t>The Sequence of Events</t>
  </si>
  <si>
    <t>Percentage of Troop Effectiveness in Various Terrains</t>
  </si>
  <si>
    <t>Leader Bonuses</t>
  </si>
  <si>
    <t>Regional Influence Levels</t>
  </si>
  <si>
    <t>#</t>
  </si>
  <si>
    <t>Event / Subject</t>
  </si>
  <si>
    <t>Terrain</t>
  </si>
  <si>
    <t>Infantry</t>
  </si>
  <si>
    <t>Cavalry</t>
  </si>
  <si>
    <t>Archers</t>
  </si>
  <si>
    <t>Rank</t>
  </si>
  <si>
    <t>Bonus</t>
  </si>
  <si>
    <t>% of Census</t>
  </si>
  <si>
    <t>Influence</t>
  </si>
  <si>
    <t>Plains</t>
  </si>
  <si>
    <t>Add/Drop Standing Orders</t>
  </si>
  <si>
    <t>Forest</t>
  </si>
  <si>
    <t>None</t>
  </si>
  <si>
    <t>Group To Group Encounters</t>
  </si>
  <si>
    <t>Mountains</t>
  </si>
  <si>
    <r>
      <t>1%</t>
    </r>
    <r>
      <rPr>
        <sz val="10"/>
        <color theme="1"/>
        <rFont val="Calibri"/>
        <family val="2"/>
        <scheme val="minor"/>
      </rPr>
      <t xml:space="preserve"> </t>
    </r>
    <r>
      <rPr>
        <sz val="10"/>
        <color rgb="FF000000"/>
        <rFont val="Calibri"/>
        <family val="2"/>
        <scheme val="minor"/>
      </rPr>
      <t>-</t>
    </r>
    <r>
      <rPr>
        <sz val="10"/>
        <color theme="1"/>
        <rFont val="Calibri"/>
        <family val="2"/>
        <scheme val="minor"/>
      </rPr>
      <t xml:space="preserve"> </t>
    </r>
    <r>
      <rPr>
        <sz val="10"/>
        <color rgb="FF000000"/>
        <rFont val="Calibri"/>
        <family val="2"/>
        <scheme val="minor"/>
      </rPr>
      <t>14%</t>
    </r>
  </si>
  <si>
    <t>Minor</t>
  </si>
  <si>
    <t>Investigate Unusual Sightings</t>
  </si>
  <si>
    <t>Desert</t>
  </si>
  <si>
    <r>
      <t>15%</t>
    </r>
    <r>
      <rPr>
        <sz val="10"/>
        <color theme="1"/>
        <rFont val="Calibri"/>
        <family val="2"/>
        <scheme val="minor"/>
      </rPr>
      <t xml:space="preserve"> </t>
    </r>
    <r>
      <rPr>
        <sz val="10"/>
        <color rgb="FF000000"/>
        <rFont val="Calibri"/>
        <family val="2"/>
        <scheme val="minor"/>
      </rPr>
      <t>–</t>
    </r>
    <r>
      <rPr>
        <sz val="10"/>
        <color theme="1"/>
        <rFont val="Calibri"/>
        <family val="2"/>
        <scheme val="minor"/>
      </rPr>
      <t xml:space="preserve"> </t>
    </r>
    <r>
      <rPr>
        <sz val="10"/>
        <color rgb="FF000000"/>
        <rFont val="Calibri"/>
        <family val="2"/>
        <scheme val="minor"/>
      </rPr>
      <t>34%</t>
    </r>
  </si>
  <si>
    <t>Group To Pop. Center Actions</t>
  </si>
  <si>
    <t>Marsh</t>
  </si>
  <si>
    <r>
      <t>35%</t>
    </r>
    <r>
      <rPr>
        <sz val="10"/>
        <color theme="1"/>
        <rFont val="Calibri"/>
        <family val="2"/>
        <scheme val="minor"/>
      </rPr>
      <t xml:space="preserve"> </t>
    </r>
    <r>
      <rPr>
        <sz val="10"/>
        <color rgb="FF000000"/>
        <rFont val="Calibri"/>
        <family val="2"/>
        <scheme val="minor"/>
      </rPr>
      <t>-</t>
    </r>
    <r>
      <rPr>
        <sz val="10"/>
        <color theme="1"/>
        <rFont val="Calibri"/>
        <family val="2"/>
        <scheme val="minor"/>
      </rPr>
      <t xml:space="preserve"> </t>
    </r>
    <r>
      <rPr>
        <sz val="10"/>
        <color rgb="FF000000"/>
        <rFont val="Calibri"/>
        <family val="2"/>
        <scheme val="minor"/>
      </rPr>
      <t>49%</t>
    </r>
  </si>
  <si>
    <t>Production</t>
  </si>
  <si>
    <t>Pop. Center</t>
  </si>
  <si>
    <r>
      <t>50%</t>
    </r>
    <r>
      <rPr>
        <sz val="10"/>
        <color theme="1"/>
        <rFont val="Calibri"/>
        <family val="2"/>
        <scheme val="minor"/>
      </rPr>
      <t xml:space="preserve"> </t>
    </r>
    <r>
      <rPr>
        <sz val="10"/>
        <color rgb="FF000000"/>
        <rFont val="Calibri"/>
        <family val="2"/>
        <scheme val="minor"/>
      </rPr>
      <t>-</t>
    </r>
    <r>
      <rPr>
        <sz val="10"/>
        <color theme="1"/>
        <rFont val="Calibri"/>
        <family val="2"/>
        <scheme val="minor"/>
      </rPr>
      <t xml:space="preserve"> </t>
    </r>
    <r>
      <rPr>
        <sz val="10"/>
        <color rgb="FF000000"/>
        <rFont val="Calibri"/>
        <family val="2"/>
        <scheme val="minor"/>
      </rPr>
      <t>100%</t>
    </r>
  </si>
  <si>
    <t>Trading</t>
  </si>
  <si>
    <t>Sea</t>
  </si>
  <si>
    <t>----------      Dependent Upon Sea Power      ----------</t>
  </si>
  <si>
    <t>Receive Scheduled Reinforcements</t>
  </si>
  <si>
    <t>Group Consumption</t>
  </si>
  <si>
    <t>Group Size</t>
  </si>
  <si>
    <t>Political Emissary Activities</t>
  </si>
  <si>
    <t>Emissary Power and Usage Cost</t>
  </si>
  <si>
    <t>The King's Actions</t>
  </si>
  <si>
    <t># of Brigades</t>
  </si>
  <si>
    <t>Size</t>
  </si>
  <si>
    <t>High Council Actions</t>
  </si>
  <si>
    <t>Title</t>
  </si>
  <si>
    <t>King's Power %</t>
  </si>
  <si>
    <t>Gold</t>
  </si>
  <si>
    <t>Hire Influence Cost</t>
  </si>
  <si>
    <t>Improve Pop. Center Capabilities</t>
  </si>
  <si>
    <t>Empty</t>
  </si>
  <si>
    <t>Inactive</t>
  </si>
  <si>
    <t>Split/Move/Combine Groups</t>
  </si>
  <si>
    <t>Seasonal Effects</t>
  </si>
  <si>
    <t>Figure(s) Only</t>
  </si>
  <si>
    <t>Patrol</t>
  </si>
  <si>
    <t>High Priestess Actions</t>
  </si>
  <si>
    <t>Prov. Governor</t>
  </si>
  <si>
    <t>1-2 Brigades</t>
  </si>
  <si>
    <t>Brigade</t>
  </si>
  <si>
    <t>Determine Regional Control</t>
  </si>
  <si>
    <t>-</t>
  </si>
  <si>
    <t>Winter</t>
  </si>
  <si>
    <t>Summer</t>
  </si>
  <si>
    <t>3-5 Brigades</t>
  </si>
  <si>
    <t>Division</t>
  </si>
  <si>
    <t>Perform Magical Research</t>
  </si>
  <si>
    <r>
      <t>Regions</t>
    </r>
    <r>
      <rPr>
        <sz val="10"/>
        <color theme="1"/>
        <rFont val="Calibri"/>
        <family val="2"/>
        <scheme val="minor"/>
      </rPr>
      <t xml:space="preserve"> </t>
    </r>
    <r>
      <rPr>
        <sz val="10"/>
        <color rgb="FF000000"/>
        <rFont val="Calibri"/>
        <family val="2"/>
        <scheme val="minor"/>
      </rPr>
      <t>1-6</t>
    </r>
  </si>
  <si>
    <r>
      <t>Regions 7</t>
    </r>
    <r>
      <rPr>
        <sz val="10"/>
        <color theme="1"/>
        <rFont val="Calibri"/>
        <family val="2"/>
        <scheme val="minor"/>
      </rPr>
      <t>-</t>
    </r>
    <r>
      <rPr>
        <sz val="10"/>
        <color rgb="FF000000"/>
        <rFont val="Calibri"/>
        <family val="2"/>
        <scheme val="minor"/>
      </rPr>
      <t>10</t>
    </r>
  </si>
  <si>
    <t>6-10 Brigades</t>
  </si>
  <si>
    <t>Army</t>
  </si>
  <si>
    <t>Agent Activities</t>
  </si>
  <si>
    <t>11 or More</t>
  </si>
  <si>
    <t>Army Group</t>
  </si>
  <si>
    <t>Food Spoilage</t>
  </si>
  <si>
    <r>
      <t>50%</t>
    </r>
    <r>
      <rPr>
        <i/>
        <sz val="10"/>
        <color theme="1"/>
        <rFont val="Calibri"/>
        <family val="2"/>
        <scheme val="minor"/>
      </rPr>
      <t xml:space="preserve"> </t>
    </r>
    <r>
      <rPr>
        <i/>
        <sz val="10"/>
        <color rgb="FF000000"/>
        <rFont val="Calibri"/>
        <family val="2"/>
        <scheme val="minor"/>
      </rPr>
      <t>Gold</t>
    </r>
    <r>
      <rPr>
        <i/>
        <sz val="10"/>
        <color theme="1"/>
        <rFont val="Calibri"/>
        <family val="2"/>
        <scheme val="minor"/>
      </rPr>
      <t xml:space="preserve"> and </t>
    </r>
    <r>
      <rPr>
        <i/>
        <sz val="10"/>
        <color rgb="FF000000"/>
        <rFont val="Calibri"/>
        <family val="2"/>
        <scheme val="minor"/>
      </rPr>
      <t>25%</t>
    </r>
    <r>
      <rPr>
        <i/>
        <sz val="10"/>
        <color theme="1"/>
        <rFont val="Calibri"/>
        <family val="2"/>
        <scheme val="minor"/>
      </rPr>
      <t xml:space="preserve"> </t>
    </r>
    <r>
      <rPr>
        <i/>
        <sz val="10"/>
        <color rgb="FF000000"/>
        <rFont val="Calibri"/>
        <family val="2"/>
        <scheme val="minor"/>
      </rPr>
      <t>Food</t>
    </r>
  </si>
  <si>
    <t>Unusual Sighting Calculator</t>
  </si>
  <si>
    <r>
      <t xml:space="preserve">Calculator for </t>
    </r>
    <r>
      <rPr>
        <b/>
        <sz val="20"/>
        <color rgb="FFFFFF00"/>
        <rFont val="Calibri"/>
        <family val="2"/>
        <scheme val="minor"/>
      </rPr>
      <t xml:space="preserve">Incite Rebellion </t>
    </r>
    <r>
      <rPr>
        <sz val="20"/>
        <color rgb="FFFFFF00"/>
        <rFont val="Calibri"/>
        <family val="2"/>
        <scheme val="minor"/>
      </rPr>
      <t xml:space="preserve">(320) and </t>
    </r>
    <r>
      <rPr>
        <b/>
        <sz val="20"/>
        <color rgb="FFFFFF00"/>
        <rFont val="Calibri"/>
        <family val="2"/>
        <scheme val="minor"/>
      </rPr>
      <t xml:space="preserve">Usurp Control </t>
    </r>
    <r>
      <rPr>
        <sz val="20"/>
        <color rgb="FFFFFF00"/>
        <rFont val="Calibri"/>
        <family val="2"/>
        <scheme val="minor"/>
      </rPr>
      <t>(330)</t>
    </r>
  </si>
  <si>
    <t>Your Emissary Information</t>
  </si>
  <si>
    <t>What is the rank of your Emissary that will be performing the action ?</t>
  </si>
  <si>
    <t>What is your King's current Influence ?</t>
  </si>
  <si>
    <t>Opposing Population Center Info</t>
  </si>
  <si>
    <t>Is the Population Center a City, Town or Village ?</t>
  </si>
  <si>
    <t>Emmie Value</t>
  </si>
  <si>
    <t>INF Value</t>
  </si>
  <si>
    <t>RR value</t>
  </si>
  <si>
    <t>Emmie Strength</t>
  </si>
  <si>
    <t>320 - Incite</t>
  </si>
  <si>
    <t>330 - Usurp</t>
  </si>
  <si>
    <t>Results</t>
  </si>
  <si>
    <t>1-Step</t>
  </si>
  <si>
    <t>2-Steps</t>
  </si>
  <si>
    <t>Missing S.Q. Info</t>
  </si>
  <si>
    <t>S.Q. Totals</t>
  </si>
  <si>
    <t>S.Q. Emmie Menu</t>
  </si>
  <si>
    <t>Kingdom Menu</t>
  </si>
  <si>
    <t>PC Menu</t>
  </si>
  <si>
    <t>Emissary Menu</t>
  </si>
  <si>
    <t>City</t>
  </si>
  <si>
    <t>Town</t>
  </si>
  <si>
    <t>Village</t>
  </si>
  <si>
    <t>Message</t>
  </si>
  <si>
    <t>SQ Kingdom</t>
  </si>
  <si>
    <t>SU Kingdom</t>
  </si>
  <si>
    <t>Are there any emissaries Maintaining Status Quo (#310) this turn ?</t>
  </si>
  <si>
    <t>Are there any emissaries Stirring Unrest (#315) this turn ?</t>
  </si>
  <si>
    <r>
      <t xml:space="preserve">(c). Estimate that king's </t>
    </r>
    <r>
      <rPr>
        <b/>
        <i/>
        <sz val="10"/>
        <color rgb="FF002060"/>
        <rFont val="Calibri"/>
        <family val="2"/>
        <scheme val="minor"/>
      </rPr>
      <t>influence</t>
    </r>
    <r>
      <rPr>
        <i/>
        <sz val="10"/>
        <color rgb="FF002060"/>
        <rFont val="Calibri"/>
        <family val="2"/>
        <scheme val="minor"/>
      </rPr>
      <t>.</t>
    </r>
  </si>
  <si>
    <r>
      <t xml:space="preserve">(b). Select the </t>
    </r>
    <r>
      <rPr>
        <b/>
        <i/>
        <sz val="10"/>
        <color rgb="FF002060"/>
        <rFont val="Calibri"/>
        <family val="2"/>
        <scheme val="minor"/>
      </rPr>
      <t>emissary's</t>
    </r>
    <r>
      <rPr>
        <i/>
        <sz val="10"/>
        <color rgb="FF002060"/>
        <rFont val="Calibri"/>
        <family val="2"/>
        <scheme val="minor"/>
      </rPr>
      <t xml:space="preserve"> rank.</t>
    </r>
  </si>
  <si>
    <r>
      <t xml:space="preserve">(a). Select the emissary's </t>
    </r>
    <r>
      <rPr>
        <b/>
        <i/>
        <sz val="10"/>
        <color rgb="FF002060"/>
        <rFont val="Calibri"/>
        <family val="2"/>
        <scheme val="minor"/>
      </rPr>
      <t>kingdom</t>
    </r>
    <r>
      <rPr>
        <i/>
        <sz val="10"/>
        <color rgb="FF002060"/>
        <rFont val="Calibri"/>
        <family val="2"/>
        <scheme val="minor"/>
      </rPr>
      <t>.</t>
    </r>
  </si>
  <si>
    <t>S.U. Emmie Menu</t>
  </si>
  <si>
    <t>S.U. Totals</t>
  </si>
  <si>
    <t>Missing S.U. Info</t>
  </si>
  <si>
    <t>Oratory Triat (*)</t>
  </si>
  <si>
    <t>+15 point bonus to Incite Rebellion (#320) and Stir Unrest (#315). +3 levels to max agent training. Agent training -1000 gold. Owned PC’s get +10% to their defense due to the defenders use of traps, tricks, murder holes, boiling oil and fire.</t>
  </si>
  <si>
    <t>Acuity Triat (*)</t>
  </si>
  <si>
    <t>Acuity Trait (*)</t>
  </si>
  <si>
    <t>Cunning Trait
(Incite)</t>
  </si>
  <si>
    <t>Oratory Trait
(Usurp)</t>
  </si>
  <si>
    <t>PC Status Quo
Value</t>
  </si>
  <si>
    <t>PC Stir Unrest
Value</t>
  </si>
  <si>
    <t>PC Owner
RR Value</t>
  </si>
  <si>
    <t>PC Owned
Value</t>
  </si>
  <si>
    <t>PC Base
Value</t>
  </si>
  <si>
    <t>Acuity</t>
  </si>
  <si>
    <t>Cunning</t>
  </si>
  <si>
    <t>Oratory</t>
  </si>
  <si>
    <t>PC Capital</t>
  </si>
  <si>
    <t>Acuity Trait
(Die Roll)</t>
  </si>
  <si>
    <t>Power</t>
  </si>
  <si>
    <t>Base Value</t>
  </si>
  <si>
    <t>Control Value</t>
  </si>
  <si>
    <t>RR Value (offense)</t>
  </si>
  <si>
    <t>RR Value (defense)</t>
  </si>
  <si>
    <t>PC Owner Reg Control Value</t>
  </si>
  <si>
    <t>not applicable</t>
  </si>
  <si>
    <t>Swamp</t>
  </si>
  <si>
    <t>Flight</t>
  </si>
  <si>
    <t>Supremacy</t>
  </si>
  <si>
    <t>Mastery</t>
  </si>
  <si>
    <t>Advantage</t>
  </si>
  <si>
    <t>Standard</t>
  </si>
  <si>
    <t>Disadvantage</t>
  </si>
  <si>
    <t>Adversity</t>
  </si>
  <si>
    <t>Terrain Adeptness - Movement Points Per Terrain</t>
  </si>
  <si>
    <t>No adjustment</t>
  </si>
  <si>
    <t>-10% in terrain</t>
  </si>
  <si>
    <t>-20% in terrain</t>
  </si>
  <si>
    <t>+20% bonus vs. PC’s</t>
  </si>
  <si>
    <t>Notes</t>
  </si>
  <si>
    <t>Greater masking, +30%, and Evasion (in terrain)</t>
  </si>
  <si>
    <t>Greater masking and +20% (in terrain)</t>
  </si>
  <si>
    <t>Lesser masking and +10% (in terrain)</t>
  </si>
  <si>
    <t>Adeptness</t>
  </si>
  <si>
    <t>Encounter Results</t>
  </si>
  <si>
    <t>Legend &amp; Additional Info</t>
  </si>
  <si>
    <t>&lt;&lt;&lt; Hidden Calculations &gt;&gt;&gt;</t>
  </si>
  <si>
    <t>Kingdom</t>
  </si>
  <si>
    <t>The Men Contribution</t>
  </si>
  <si>
    <t>P1 Wizard Contribution</t>
  </si>
  <si>
    <t>Character Strength Modifier</t>
  </si>
  <si>
    <t>Artifact Strength Modifier</t>
  </si>
  <si>
    <t>Leader Promotion Modifier (pts)</t>
  </si>
  <si>
    <t>Leader Death Modifier</t>
  </si>
  <si>
    <t>Leader Emergence Modifier</t>
  </si>
  <si>
    <t>Min</t>
  </si>
  <si>
    <t>Average</t>
  </si>
  <si>
    <t>Max</t>
  </si>
  <si>
    <t>The Secret Servants of the Ancient Ones</t>
  </si>
  <si>
    <t>Legend: Message Hirarchy and Colors</t>
  </si>
  <si>
    <t>Guardian Value:</t>
  </si>
  <si>
    <t>The Dark Skys of the Black Dragons</t>
  </si>
  <si>
    <t>The Onyx Imperium of the Dark Elves</t>
  </si>
  <si>
    <r>
      <t xml:space="preserve">If you encounter a
</t>
    </r>
    <r>
      <rPr>
        <b/>
        <sz val="11"/>
        <color theme="1"/>
        <rFont val="Calibri"/>
        <family val="2"/>
        <scheme val="minor"/>
      </rPr>
      <t>Strong Guardian</t>
    </r>
    <r>
      <rPr>
        <sz val="10"/>
        <color theme="1"/>
        <rFont val="Calibri"/>
        <family val="2"/>
        <scheme val="minor"/>
      </rPr>
      <t xml:space="preserve">
your chances are:</t>
    </r>
  </si>
  <si>
    <r>
      <t xml:space="preserve">If you encounter a
</t>
    </r>
    <r>
      <rPr>
        <b/>
        <sz val="11"/>
        <color theme="1"/>
        <rFont val="Calibri"/>
        <family val="2"/>
        <scheme val="minor"/>
      </rPr>
      <t>Standard Guardian</t>
    </r>
    <r>
      <rPr>
        <sz val="10"/>
        <color theme="1"/>
        <rFont val="Calibri"/>
        <family val="2"/>
        <scheme val="minor"/>
      </rPr>
      <t xml:space="preserve">
your chances are:</t>
    </r>
  </si>
  <si>
    <r>
      <t xml:space="preserve">If you encounter a
</t>
    </r>
    <r>
      <rPr>
        <b/>
        <sz val="11"/>
        <color theme="1"/>
        <rFont val="Calibri"/>
        <family val="2"/>
        <scheme val="minor"/>
      </rPr>
      <t>Weaker Guardian</t>
    </r>
    <r>
      <rPr>
        <sz val="10"/>
        <color theme="1"/>
        <rFont val="Calibri"/>
        <family val="2"/>
        <scheme val="minor"/>
      </rPr>
      <t xml:space="preserve">
your chances are:</t>
    </r>
  </si>
  <si>
    <t>Sum of…</t>
  </si>
  <si>
    <t>The Seven Hells of the Demon Princes</t>
  </si>
  <si>
    <t>Patrol Value:</t>
  </si>
  <si>
    <r>
      <t xml:space="preserve">Message Hirarchy
per Category
</t>
    </r>
    <r>
      <rPr>
        <i/>
        <sz val="11"/>
        <rFont val="Calibri"/>
        <family val="2"/>
        <scheme val="minor"/>
      </rPr>
      <t>( 8 Levels each )</t>
    </r>
  </si>
  <si>
    <t>Near Certainty</t>
  </si>
  <si>
    <t>Near Invulnerable</t>
  </si>
  <si>
    <t>The Men</t>
  </si>
  <si>
    <t>2. What is the Artifact Class contained in the Unusual Sighting?</t>
  </si>
  <si>
    <t>Promising</t>
  </si>
  <si>
    <t>Unlikely</t>
  </si>
  <si>
    <t>Leader #1</t>
  </si>
  <si>
    <t>Good</t>
  </si>
  <si>
    <t>At Some Risk</t>
  </si>
  <si>
    <t>Leader #2</t>
  </si>
  <si>
    <t>Decent</t>
  </si>
  <si>
    <t>Risky</t>
  </si>
  <si>
    <t>Leader #3</t>
  </si>
  <si>
    <t>Iffy</t>
  </si>
  <si>
    <t>Dangerous</t>
  </si>
  <si>
    <t>Wizard #1</t>
  </si>
  <si>
    <t>The Reign of Terror of the Red Dragons</t>
  </si>
  <si>
    <t>3. What Tactic will you use to investigate this Sighting?</t>
  </si>
  <si>
    <t>Will Need Some Luck</t>
  </si>
  <si>
    <t>Wizard #2</t>
  </si>
  <si>
    <r>
      <rPr>
        <b/>
        <u/>
        <sz val="11"/>
        <color theme="1"/>
        <rFont val="Calibri"/>
        <family val="2"/>
        <scheme val="minor"/>
      </rPr>
      <t>Successful Encounter</t>
    </r>
    <r>
      <rPr>
        <sz val="10"/>
        <color theme="1"/>
        <rFont val="Calibri"/>
        <family val="2"/>
        <scheme val="minor"/>
      </rPr>
      <t xml:space="preserve">
Chance of Death vs.
Standard Guardian</t>
    </r>
    <r>
      <rPr>
        <b/>
        <u/>
        <sz val="10"/>
        <color theme="1"/>
        <rFont val="Calibri"/>
        <family val="2"/>
        <scheme val="minor"/>
      </rPr>
      <t/>
    </r>
  </si>
  <si>
    <r>
      <rPr>
        <b/>
        <u/>
        <sz val="11"/>
        <color theme="1"/>
        <rFont val="Calibri"/>
        <family val="2"/>
        <scheme val="minor"/>
      </rPr>
      <t>Failed Encounter</t>
    </r>
    <r>
      <rPr>
        <sz val="10"/>
        <color theme="1"/>
        <rFont val="Calibri"/>
        <family val="2"/>
        <scheme val="minor"/>
      </rPr>
      <t xml:space="preserve">
Chance of Death vs.
Standard Guardian</t>
    </r>
    <r>
      <rPr>
        <b/>
        <u/>
        <sz val="10"/>
        <color theme="1"/>
        <rFont val="Calibri"/>
        <family val="2"/>
        <scheme val="minor"/>
      </rPr>
      <t/>
    </r>
  </si>
  <si>
    <t>Slight</t>
  </si>
  <si>
    <t>Survival Doubtful</t>
  </si>
  <si>
    <t>Wizard #3</t>
  </si>
  <si>
    <t>Suicide Mission</t>
  </si>
  <si>
    <t>Weapon Art #1</t>
  </si>
  <si>
    <r>
      <rPr>
        <b/>
        <i/>
        <sz val="11"/>
        <color rgb="FF00B050"/>
        <rFont val="Calibri"/>
        <family val="2"/>
        <scheme val="minor"/>
      </rPr>
      <t>Green</t>
    </r>
    <r>
      <rPr>
        <i/>
        <sz val="11"/>
        <color theme="1"/>
        <rFont val="Calibri"/>
        <family val="2"/>
        <scheme val="minor"/>
      </rPr>
      <t xml:space="preserve"> = Attractive
</t>
    </r>
    <r>
      <rPr>
        <b/>
        <i/>
        <sz val="11"/>
        <color rgb="FF0070C0"/>
        <rFont val="Calibri"/>
        <family val="2"/>
        <scheme val="minor"/>
      </rPr>
      <t>Blue</t>
    </r>
    <r>
      <rPr>
        <i/>
        <sz val="11"/>
        <color theme="1"/>
        <rFont val="Calibri"/>
        <family val="2"/>
        <scheme val="minor"/>
      </rPr>
      <t xml:space="preserve"> = Fair
</t>
    </r>
    <r>
      <rPr>
        <b/>
        <i/>
        <sz val="11"/>
        <color theme="7" tint="-0.499984740745262"/>
        <rFont val="Calibri"/>
        <family val="2"/>
        <scheme val="minor"/>
      </rPr>
      <t>Brown</t>
    </r>
    <r>
      <rPr>
        <i/>
        <sz val="11"/>
        <color theme="1"/>
        <rFont val="Calibri"/>
        <family val="2"/>
        <scheme val="minor"/>
      </rPr>
      <t xml:space="preserve"> = not Good
</t>
    </r>
    <r>
      <rPr>
        <b/>
        <i/>
        <sz val="11"/>
        <color rgb="FFFF0000"/>
        <rFont val="Calibri"/>
        <family val="2"/>
        <scheme val="minor"/>
      </rPr>
      <t>Red</t>
    </r>
    <r>
      <rPr>
        <i/>
        <sz val="11"/>
        <color theme="1"/>
        <rFont val="Calibri"/>
        <family val="2"/>
        <scheme val="minor"/>
      </rPr>
      <t xml:space="preserve"> = Awful</t>
    </r>
  </si>
  <si>
    <t>Weapon Art #2</t>
  </si>
  <si>
    <t>List of Leaders</t>
  </si>
  <si>
    <t>Magic Armor?</t>
  </si>
  <si>
    <t>New Leaders</t>
  </si>
  <si>
    <t>Weapon Art #3</t>
  </si>
  <si>
    <t> Near Certainty</t>
  </si>
  <si>
    <t> Near Certainty </t>
  </si>
  <si>
    <t>Weapon Art #4</t>
  </si>
  <si>
    <t>(1)</t>
  </si>
  <si>
    <t> Very Probable</t>
  </si>
  <si>
    <t> Very Probable </t>
  </si>
  <si>
    <t>Weapon Art #5</t>
  </si>
  <si>
    <t>Artifact Class</t>
  </si>
  <si>
    <t>Guardian Min</t>
  </si>
  <si>
    <t>Guardian Max</t>
  </si>
  <si>
    <t>Artifact Class Desc</t>
  </si>
  <si>
    <t>(2)</t>
  </si>
  <si>
    <t> Likely</t>
  </si>
  <si>
    <t>(3)</t>
  </si>
  <si>
    <t> Good</t>
  </si>
  <si>
    <t>Weak</t>
  </si>
  <si>
    <t>Strong</t>
  </si>
  <si>
    <t>Fine encounters are the easiest to investigate and are usually protected by the least powerful of Guardians.</t>
  </si>
  <si>
    <t> Questionable</t>
  </si>
  <si>
    <t> Questionable </t>
  </si>
  <si>
    <t>Base Success Chance:</t>
  </si>
  <si>
    <t> Unlikely</t>
  </si>
  <si>
    <t>Superior encounters are very difficult to investigate and are usually protected by very powerful Guardians.</t>
  </si>
  <si>
    <t> Slight</t>
  </si>
  <si>
    <t>Modifier</t>
  </si>
  <si>
    <t>Almost Impossible</t>
  </si>
  <si>
    <t>Almost No Chance </t>
  </si>
  <si>
    <t>Tactic Modifier:</t>
  </si>
  <si>
    <r>
      <rPr>
        <b/>
        <u/>
        <sz val="11"/>
        <color theme="1"/>
        <rFont val="Calibri"/>
        <family val="2"/>
        <scheme val="minor"/>
      </rPr>
      <t>Successful Encounter</t>
    </r>
    <r>
      <rPr>
        <sz val="10"/>
        <color theme="1"/>
        <rFont val="Calibri"/>
        <family val="2"/>
        <scheme val="minor"/>
      </rPr>
      <t xml:space="preserve">
Promotion Chances vs.
Standard Guardian</t>
    </r>
    <r>
      <rPr>
        <b/>
        <u/>
        <sz val="10"/>
        <color theme="1"/>
        <rFont val="Calibri"/>
        <family val="2"/>
        <scheme val="minor"/>
      </rPr>
      <t/>
    </r>
  </si>
  <si>
    <r>
      <rPr>
        <b/>
        <u/>
        <sz val="11"/>
        <color theme="1"/>
        <rFont val="Calibri"/>
        <family val="2"/>
        <scheme val="minor"/>
      </rPr>
      <t>Failed Encounter</t>
    </r>
    <r>
      <rPr>
        <sz val="10"/>
        <color theme="1"/>
        <rFont val="Calibri"/>
        <family val="2"/>
        <scheme val="minor"/>
      </rPr>
      <t xml:space="preserve">
Promotion Chances vs.
Standard Guardian</t>
    </r>
    <r>
      <rPr>
        <b/>
        <u/>
        <sz val="10"/>
        <color theme="1"/>
        <rFont val="Calibri"/>
        <family val="2"/>
        <scheme val="minor"/>
      </rPr>
      <t/>
    </r>
  </si>
  <si>
    <t>Leader Rank</t>
  </si>
  <si>
    <t>Leader Contribution</t>
  </si>
  <si>
    <t>Base Death Rates</t>
  </si>
  <si>
    <t>Base Promotion Rates</t>
  </si>
  <si>
    <t>Magic Armor (Y)</t>
  </si>
  <si>
    <t>Success Encounter</t>
  </si>
  <si>
    <t>Failed Encounter</t>
  </si>
  <si>
    <t>Modified Chances:</t>
  </si>
  <si>
    <t>Death chances:</t>
  </si>
  <si>
    <t>Failed</t>
  </si>
  <si>
    <t>List of Weapon Artifacts</t>
  </si>
  <si>
    <t>6. Does your group possess any Weapon Artifacts?</t>
  </si>
  <si>
    <t>Successful Encounter</t>
  </si>
  <si>
    <t>(4)</t>
  </si>
  <si>
    <t>If &lt; 3 Leaders at the
end of the Encounter</t>
  </si>
  <si>
    <t>(5)</t>
  </si>
  <si>
    <t>Promotion chance:</t>
  </si>
  <si>
    <t>Wizard</t>
  </si>
  <si>
    <t>Wizard Power</t>
  </si>
  <si>
    <t>Death Rates</t>
  </si>
  <si>
    <t>Weapon Artifacts</t>
  </si>
  <si>
    <t>Weapon Contr.</t>
  </si>
  <si>
    <t>Rod of Fire</t>
  </si>
  <si>
    <t>Power- 1</t>
  </si>
  <si>
    <t>Wand of Lightning</t>
  </si>
  <si>
    <t>Power- 2</t>
  </si>
  <si>
    <t>New Leader chance:</t>
  </si>
  <si>
    <t>Power- 3</t>
  </si>
  <si>
    <t>New Leader</t>
  </si>
  <si>
    <t>Power- 4</t>
  </si>
  <si>
    <t>Power- 5</t>
  </si>
  <si>
    <t>Power- 6</t>
  </si>
  <si>
    <t>Leader Emergence</t>
  </si>
  <si>
    <t>Successful Enctr.</t>
  </si>
  <si>
    <t>Power- 7</t>
  </si>
  <si>
    <t>Base Chance</t>
  </si>
  <si>
    <t>Power- 8</t>
  </si>
  <si>
    <t>Power- 9</t>
  </si>
  <si>
    <t>Power-10</t>
  </si>
  <si>
    <t>Power-11</t>
  </si>
  <si>
    <t>Power-12</t>
  </si>
  <si>
    <t>Power-13</t>
  </si>
  <si>
    <t>Power-14</t>
  </si>
  <si>
    <t>Power-15</t>
  </si>
  <si>
    <t>Tactic</t>
  </si>
  <si>
    <t>Success Mod.</t>
  </si>
  <si>
    <t>Tactic Message</t>
  </si>
  <si>
    <t>Tactic 1</t>
  </si>
  <si>
    <t>Tactic 2</t>
  </si>
  <si>
    <t>Tactic 3</t>
  </si>
  <si>
    <t>Your Group Information</t>
  </si>
  <si>
    <t>Defending Population Center Info</t>
  </si>
  <si>
    <r>
      <rPr>
        <b/>
        <u/>
        <sz val="12"/>
        <color rgb="FF002060"/>
        <rFont val="Calibri"/>
        <family val="2"/>
        <scheme val="minor"/>
      </rPr>
      <t>Usurp Control</t>
    </r>
    <r>
      <rPr>
        <b/>
        <sz val="12"/>
        <color rgb="FF002060"/>
        <rFont val="Calibri"/>
        <family val="2"/>
        <scheme val="minor"/>
      </rPr>
      <t xml:space="preserve"> of a controlled PC</t>
    </r>
    <r>
      <rPr>
        <sz val="12"/>
        <color rgb="FF002060"/>
        <rFont val="Calibri"/>
        <family val="2"/>
        <scheme val="minor"/>
      </rPr>
      <t xml:space="preserve"> </t>
    </r>
    <r>
      <rPr>
        <i/>
        <sz val="10"/>
        <rFont val="Calibri"/>
        <family val="2"/>
        <scheme val="minor"/>
      </rPr>
      <t>(2 Steps)</t>
    </r>
  </si>
  <si>
    <r>
      <rPr>
        <b/>
        <u/>
        <sz val="12"/>
        <color rgb="FF002060"/>
        <rFont val="Calibri"/>
        <family val="2"/>
        <scheme val="minor"/>
      </rPr>
      <t>Incite Rebellion</t>
    </r>
    <r>
      <rPr>
        <b/>
        <sz val="12"/>
        <color rgb="FF002060"/>
        <rFont val="Calibri"/>
        <family val="2"/>
        <scheme val="minor"/>
      </rPr>
      <t xml:space="preserve"> or </t>
    </r>
    <r>
      <rPr>
        <b/>
        <u/>
        <sz val="12"/>
        <color rgb="FF002060"/>
        <rFont val="Calibri"/>
        <family val="2"/>
        <scheme val="minor"/>
      </rPr>
      <t>Usurp Control</t>
    </r>
    <r>
      <rPr>
        <sz val="12"/>
        <color rgb="FF002060"/>
        <rFont val="Calibri"/>
        <family val="2"/>
        <scheme val="minor"/>
      </rPr>
      <t xml:space="preserve"> </t>
    </r>
    <r>
      <rPr>
        <i/>
        <sz val="10"/>
        <rFont val="Calibri"/>
        <family val="2"/>
        <scheme val="minor"/>
      </rPr>
      <t>(1 Step)</t>
    </r>
  </si>
  <si>
    <r>
      <t xml:space="preserve">Order #170 - </t>
    </r>
    <r>
      <rPr>
        <b/>
        <u/>
        <sz val="12"/>
        <color rgb="FF002060"/>
        <rFont val="Calibri"/>
        <family val="2"/>
        <scheme val="minor"/>
      </rPr>
      <t>Group Parley</t>
    </r>
  </si>
  <si>
    <r>
      <t xml:space="preserve">Order #171 - </t>
    </r>
    <r>
      <rPr>
        <b/>
        <u/>
        <sz val="12"/>
        <color rgb="FF0070C0"/>
        <rFont val="Calibri"/>
        <family val="2"/>
        <scheme val="minor"/>
      </rPr>
      <t>Diplomacy</t>
    </r>
    <r>
      <rPr>
        <b/>
        <sz val="12"/>
        <color rgb="FF0070C0"/>
        <rFont val="Calibri"/>
        <family val="2"/>
        <scheme val="minor"/>
      </rPr>
      <t xml:space="preserve"> Spell</t>
    </r>
  </si>
  <si>
    <r>
      <t xml:space="preserve">Wizard's Power </t>
    </r>
    <r>
      <rPr>
        <i/>
        <sz val="10"/>
        <color rgb="FF0070C0"/>
        <rFont val="Calibri"/>
        <family val="2"/>
        <scheme val="minor"/>
      </rPr>
      <t>(Order #171 only)</t>
    </r>
  </si>
  <si>
    <t>Captain Class</t>
  </si>
  <si>
    <t>General Class</t>
  </si>
  <si>
    <t>Marshal Class</t>
  </si>
  <si>
    <t>The Realm of the Amazon Matriarchy</t>
  </si>
  <si>
    <t>The Legendary Civilization of the Atlantians</t>
  </si>
  <si>
    <t>The Cimmerian Nation from the Mists</t>
  </si>
  <si>
    <t>The Domain of the Great Druid</t>
  </si>
  <si>
    <t>The Dwarven Lords of the Talking Mountains</t>
  </si>
  <si>
    <t>The Golden Principality of the Gnomes</t>
  </si>
  <si>
    <t>The Commonwealth of the Halflings</t>
  </si>
  <si>
    <t>The Sphere of the Illusionist</t>
  </si>
  <si>
    <t>The Empire of the Lizard Kings</t>
  </si>
  <si>
    <t>The Shadow Lands of the Necromancer</t>
  </si>
  <si>
    <t>The Great Nomadic Hegemony</t>
  </si>
  <si>
    <t>The Pirates of Avalon and Beyond</t>
  </si>
  <si>
    <t>The Iron Province of the Rangers</t>
  </si>
  <si>
    <t>The Theocracy of the Sacred Order of Knights</t>
  </si>
  <si>
    <t>The Hidden Realm of the Sorcerer</t>
  </si>
  <si>
    <t>The Evil Reign of the Tyrant of Gor</t>
  </si>
  <si>
    <t>The Underworld Cult of Secrets</t>
  </si>
  <si>
    <t>The Fire Realm of the Warlock</t>
  </si>
  <si>
    <t>The Evergreen Dominion of the High Elves</t>
  </si>
  <si>
    <t>4. List the Leaders that will be investigating the Sighting.</t>
  </si>
  <si>
    <t>Wizards Spells</t>
  </si>
  <si>
    <t>List of 
Wizards</t>
  </si>
  <si>
    <t>Kingdom Traits</t>
  </si>
  <si>
    <t>Heroic</t>
  </si>
  <si>
    <t>Stalwart</t>
  </si>
  <si>
    <t>Level</t>
  </si>
  <si>
    <t>Adventurer</t>
  </si>
  <si>
    <t>Traits</t>
  </si>
  <si>
    <t>Total</t>
  </si>
  <si>
    <t>&lt; Select your Kingdom &gt;</t>
  </si>
  <si>
    <r>
      <t xml:space="preserve">&lt;&lt;&lt;  Is Your Covert Character an </t>
    </r>
    <r>
      <rPr>
        <b/>
        <i/>
        <sz val="9"/>
        <color rgb="FF002060"/>
        <rFont val="Calibri"/>
        <family val="2"/>
      </rPr>
      <t xml:space="preserve">Agent </t>
    </r>
    <r>
      <rPr>
        <i/>
        <sz val="9"/>
        <color rgb="FF002060"/>
        <rFont val="Calibri"/>
        <family val="2"/>
      </rPr>
      <t xml:space="preserve">or a </t>
    </r>
    <r>
      <rPr>
        <b/>
        <i/>
        <sz val="9"/>
        <color rgb="FF002060"/>
        <rFont val="Calibri"/>
        <family val="2"/>
      </rPr>
      <t>Fanatic</t>
    </r>
    <r>
      <rPr>
        <i/>
        <sz val="9"/>
        <color rgb="FF002060"/>
        <rFont val="Calibri"/>
        <family val="2"/>
      </rPr>
      <t>?</t>
    </r>
  </si>
  <si>
    <r>
      <t xml:space="preserve">&lt;&lt;&lt;  Select a </t>
    </r>
    <r>
      <rPr>
        <b/>
        <i/>
        <sz val="9"/>
        <color rgb="FF002060"/>
        <rFont val="Calibri"/>
        <family val="2"/>
      </rPr>
      <t xml:space="preserve">Kingdom </t>
    </r>
    <r>
      <rPr>
        <i/>
        <sz val="9"/>
        <color rgb="FF002060"/>
        <rFont val="Calibri"/>
        <family val="2"/>
      </rPr>
      <t>to factor in your kingdom Traits.</t>
    </r>
  </si>
  <si>
    <r>
      <t xml:space="preserve">Enter amount of expected </t>
    </r>
    <r>
      <rPr>
        <b/>
        <i/>
        <sz val="9"/>
        <color rgb="FF002060"/>
        <rFont val="Calibri"/>
        <family val="2"/>
      </rPr>
      <t xml:space="preserve">Counter-Espionage </t>
    </r>
    <r>
      <rPr>
        <i/>
        <sz val="9"/>
        <color rgb="FF002060"/>
        <rFont val="Calibri"/>
        <family val="2"/>
      </rPr>
      <t xml:space="preserve"> &gt;&gt;&gt;</t>
    </r>
  </si>
  <si>
    <r>
      <rPr>
        <b/>
        <sz val="9"/>
        <rFont val="Calibri"/>
        <family val="2"/>
      </rPr>
      <t>Fanatics</t>
    </r>
    <r>
      <rPr>
        <sz val="9"/>
        <rFont val="Calibri"/>
        <family val="2"/>
      </rPr>
      <t xml:space="preserve"> have better odds for a successful mission.
They also have a higher chance of being caught.</t>
    </r>
  </si>
  <si>
    <r>
      <rPr>
        <sz val="9"/>
        <rFont val="Calibri"/>
        <family val="2"/>
      </rPr>
      <t xml:space="preserve">Enemy Agents performing </t>
    </r>
    <r>
      <rPr>
        <b/>
        <sz val="9"/>
        <rFont val="Calibri"/>
        <family val="2"/>
      </rPr>
      <t>Counter-Espionage</t>
    </r>
    <r>
      <rPr>
        <sz val="9"/>
        <rFont val="Calibri"/>
        <family val="2"/>
      </rPr>
      <t xml:space="preserve"> (or Guarding) </t>
    </r>
    <r>
      <rPr>
        <b/>
        <sz val="9"/>
        <rFont val="Calibri"/>
        <family val="2"/>
      </rPr>
      <t xml:space="preserve">reduces </t>
    </r>
    <r>
      <rPr>
        <sz val="9"/>
        <rFont val="Calibri"/>
        <family val="2"/>
      </rPr>
      <t xml:space="preserve">your chances of Success AND also </t>
    </r>
    <r>
      <rPr>
        <b/>
        <sz val="9"/>
        <rFont val="Calibri"/>
        <family val="2"/>
      </rPr>
      <t xml:space="preserve">increases </t>
    </r>
    <r>
      <rPr>
        <sz val="9"/>
        <rFont val="Calibri"/>
        <family val="2"/>
      </rPr>
      <t>your chances of being Captured.</t>
    </r>
    <r>
      <rPr>
        <sz val="9"/>
        <color rgb="FF002060"/>
        <rFont val="Calibri"/>
        <family val="2"/>
      </rPr>
      <t xml:space="preserve">
</t>
    </r>
    <r>
      <rPr>
        <sz val="9"/>
        <color rgb="FFC00000"/>
        <rFont val="Calibri"/>
        <family val="2"/>
      </rPr>
      <t xml:space="preserve">The calculation for Counter-Espionage is:   </t>
    </r>
    <r>
      <rPr>
        <b/>
        <sz val="9"/>
        <color rgb="FFC00000"/>
        <rFont val="Calibri"/>
        <family val="2"/>
      </rPr>
      <t>(5 points + (5 x the Agent's Level))</t>
    </r>
    <r>
      <rPr>
        <sz val="9"/>
        <color theme="9" tint="-0.499984740745262"/>
        <rFont val="Calibri"/>
        <family val="2"/>
      </rPr>
      <t xml:space="preserve">
</t>
    </r>
    <r>
      <rPr>
        <b/>
        <sz val="9"/>
        <color rgb="FFC00000"/>
        <rFont val="Calibri"/>
        <family val="2"/>
      </rPr>
      <t xml:space="preserve">For Example:  </t>
    </r>
    <r>
      <rPr>
        <sz val="9"/>
        <color rgb="FFC00000"/>
        <rFont val="Calibri"/>
        <family val="2"/>
      </rPr>
      <t xml:space="preserve">A Level 4 Agent would produce = </t>
    </r>
    <r>
      <rPr>
        <b/>
        <sz val="9"/>
        <color rgb="FFC00000"/>
        <rFont val="Calibri"/>
        <family val="2"/>
      </rPr>
      <t>(5 + (5 x 4))</t>
    </r>
    <r>
      <rPr>
        <sz val="9"/>
        <color rgb="FFC00000"/>
        <rFont val="Calibri"/>
        <family val="2"/>
      </rPr>
      <t xml:space="preserve"> = </t>
    </r>
    <r>
      <rPr>
        <b/>
        <sz val="9"/>
        <color rgb="FFC00000"/>
        <rFont val="Calibri"/>
        <family val="2"/>
      </rPr>
      <t>25 points of C.E.</t>
    </r>
    <r>
      <rPr>
        <sz val="9"/>
        <color rgb="FFFF0000"/>
        <rFont val="Calibri"/>
        <family val="2"/>
      </rPr>
      <t xml:space="preserve">
</t>
    </r>
    <r>
      <rPr>
        <sz val="9"/>
        <rFont val="Calibri"/>
        <family val="2"/>
      </rPr>
      <t>This tool will factor the amount you enter above into all missions below.</t>
    </r>
  </si>
  <si>
    <r>
      <rPr>
        <b/>
        <i/>
        <sz val="9"/>
        <color rgb="FFC00000"/>
        <rFont val="Calibri"/>
        <family val="2"/>
      </rPr>
      <t xml:space="preserve">NOTE:  </t>
    </r>
    <r>
      <rPr>
        <i/>
        <sz val="9"/>
        <rFont val="Calibri"/>
        <family val="2"/>
      </rPr>
      <t>This tool will factor in those odds based on your Agent/Fanatic selection above.</t>
    </r>
  </si>
  <si>
    <r>
      <t xml:space="preserve">There are additional abilities that are unique to specific kingdoms that are </t>
    </r>
    <r>
      <rPr>
        <u/>
        <sz val="9"/>
        <color rgb="FFC00000"/>
        <rFont val="Calibri"/>
        <family val="2"/>
        <scheme val="minor"/>
      </rPr>
      <t>not</t>
    </r>
    <r>
      <rPr>
        <sz val="9"/>
        <color rgb="FFC00000"/>
        <rFont val="Calibri"/>
        <family val="2"/>
        <scheme val="minor"/>
      </rPr>
      <t xml:space="preserve"> captured by this Traits Matrix. (For example, only The Pirates may have a Pirates’ Cove).</t>
    </r>
  </si>
  <si>
    <r>
      <t xml:space="preserve">There are additional abilities for special characters that are unique to specific kingdoms that are </t>
    </r>
    <r>
      <rPr>
        <u/>
        <sz val="9"/>
        <color rgb="FFC00000"/>
        <rFont val="Calibri"/>
        <family val="2"/>
        <scheme val="minor"/>
      </rPr>
      <t>not</t>
    </r>
    <r>
      <rPr>
        <sz val="9"/>
        <color rgb="FFC00000"/>
        <rFont val="Calibri"/>
        <family val="2"/>
        <scheme val="minor"/>
      </rPr>
      <t xml:space="preserve"> captured by this Traits Matrix. (For example, the abilities of the Ancient Ones Consuls, the Gating ability of the Demon Princes, and artifacts which provide other abilities).</t>
    </r>
  </si>
  <si>
    <t xml:space="preserve">
</t>
  </si>
  <si>
    <t xml:space="preserve">
</t>
  </si>
  <si>
    <r>
      <rPr>
        <b/>
        <sz val="9"/>
        <rFont val="Calibri"/>
        <family val="2"/>
        <scheme val="minor"/>
      </rPr>
      <t>Please Note:</t>
    </r>
    <r>
      <rPr>
        <sz val="9"/>
        <rFont val="Calibri"/>
        <family val="2"/>
        <scheme val="minor"/>
      </rPr>
      <t xml:space="preserve">  There are other factors (in addition to Counter-Espionage) that will impact your odds of success and your odds for being captured.  For example, Sleep spells, Wards, your target being Blessed by a Priestess, Assassination resistance from an Artifact (or Kingdom Special Ability), other Kingdom's Traits, and more…  
</t>
    </r>
    <r>
      <rPr>
        <b/>
        <sz val="9"/>
        <color rgb="FFC00000"/>
        <rFont val="Calibri"/>
        <family val="2"/>
        <scheme val="minor"/>
      </rPr>
      <t xml:space="preserve">This tool does </t>
    </r>
    <r>
      <rPr>
        <b/>
        <u/>
        <sz val="9"/>
        <color rgb="FFC00000"/>
        <rFont val="Calibri"/>
        <family val="2"/>
        <scheme val="minor"/>
      </rPr>
      <t>not</t>
    </r>
    <r>
      <rPr>
        <b/>
        <sz val="9"/>
        <color rgb="FFC00000"/>
        <rFont val="Calibri"/>
        <family val="2"/>
        <scheme val="minor"/>
      </rPr>
      <t xml:space="preserve"> account for these additional factors</t>
    </r>
    <r>
      <rPr>
        <b/>
        <sz val="9"/>
        <rFont val="Calibri"/>
        <family val="2"/>
        <scheme val="minor"/>
      </rPr>
      <t>.</t>
    </r>
  </si>
  <si>
    <t>Enigmas do not require combat. There is no Pass/Fail, no Chance of Death to your Leaders, nor Promotions.</t>
  </si>
  <si>
    <t>Description</t>
  </si>
  <si>
    <t>Measured &amp; Cautious</t>
  </si>
  <si>
    <t>Ambitious</t>
  </si>
  <si>
    <t>Go out in a Blaze of Glory</t>
  </si>
  <si>
    <t>Less Chance of Success / Reduced Risk to Leaders &amp; Wizards</t>
  </si>
  <si>
    <t>Average Chance of Success / Average Risk to Leaders &amp; Wizards</t>
  </si>
  <si>
    <t>Greater Chance of Success / Increased Risk to Leaders &amp; Wizards</t>
  </si>
  <si>
    <r>
      <t xml:space="preserve">Message
</t>
    </r>
    <r>
      <rPr>
        <i/>
        <sz val="11"/>
        <color indexed="8"/>
        <rFont val="Calibri"/>
        <family val="2"/>
      </rPr>
      <t>From 2nd Cycle (replaced by traits)</t>
    </r>
  </si>
  <si>
    <t>Kingdom Full Name</t>
  </si>
  <si>
    <t>Kingdom Short Name</t>
  </si>
  <si>
    <t>Quests are the hardest encounter to investigate. They typically require another artifact (i.e. a 'Key') to get them.</t>
  </si>
  <si>
    <t>Magical Prowess</t>
  </si>
  <si>
    <t>Advantaged</t>
  </si>
  <si>
    <t>Sub-standard</t>
  </si>
  <si>
    <t>Non-Magical</t>
  </si>
  <si>
    <t>Enter from zero (0) to three (3) Leaders.</t>
  </si>
  <si>
    <t>Wizard Action</t>
  </si>
  <si>
    <t>5. List the Wizards that will be investigating the Sighting.</t>
  </si>
  <si>
    <t>Message concerning Wizard actions:</t>
  </si>
  <si>
    <t>Enter from 0 - 3 Wizards (and the action they will take).</t>
  </si>
  <si>
    <t>Indicate if any of them has Magical Armor?</t>
  </si>
  <si>
    <t>Disadvantaged</t>
  </si>
  <si>
    <t>(6)</t>
  </si>
  <si>
    <t>(7)</t>
  </si>
  <si>
    <t>Weapon Art #6</t>
  </si>
  <si>
    <t>Weapon Art #7</t>
  </si>
  <si>
    <t>Kingdom has:</t>
  </si>
  <si>
    <t>Military Tradition</t>
  </si>
  <si>
    <t>Effect Msg</t>
  </si>
  <si>
    <t>Patrol Strength</t>
  </si>
  <si>
    <t>Promotion</t>
  </si>
  <si>
    <t>+0/+15/-0/+15</t>
  </si>
  <si>
    <t>+3/+10/-10/+10</t>
  </si>
  <si>
    <t>+0/+100/-0/+0</t>
  </si>
  <si>
    <t>Death Modifier</t>
  </si>
  <si>
    <t>Valyrian Steel</t>
  </si>
  <si>
    <t>Green Dragon Mates</t>
  </si>
  <si>
    <t>Fine Weapon</t>
  </si>
  <si>
    <t>Excellent Weapon</t>
  </si>
  <si>
    <t>Enter from zero (0) to seven (7) Weapon Artifacts</t>
  </si>
  <si>
    <t>* there was only room to add up to 7 artifacts.</t>
  </si>
  <si>
    <t>* if you have more, enter your Superior first for best results.</t>
  </si>
  <si>
    <t>Superior/Quest Weapon</t>
  </si>
  <si>
    <t>Spell Contr. Mod.</t>
  </si>
  <si>
    <t>Spell Death Mod</t>
  </si>
  <si>
    <t>1. Select the Kingdom you are playing to factor in its Traits.</t>
  </si>
  <si>
    <t>Excellent encounters are typically difficult to investigate and are usually protected by a powerful Guardian.</t>
  </si>
  <si>
    <t>Enigma</t>
  </si>
  <si>
    <t>Fine</t>
  </si>
  <si>
    <t>Excellent</t>
  </si>
  <si>
    <t>Superior</t>
  </si>
  <si>
    <t>Quest Item</t>
  </si>
  <si>
    <t>1. Encounter Success Chances</t>
  </si>
  <si>
    <t>2. Risk of Death to your Leaders and Wizards</t>
  </si>
  <si>
    <r>
      <t>3. Chances for a Leader Promotion</t>
    </r>
    <r>
      <rPr>
        <i/>
        <sz val="16"/>
        <color rgb="FF002060"/>
        <rFont val="Calibri"/>
        <family val="2"/>
        <scheme val="minor"/>
      </rPr>
      <t xml:space="preserve"> </t>
    </r>
    <r>
      <rPr>
        <i/>
        <sz val="14"/>
        <color rgb="FF002060"/>
        <rFont val="Calibri"/>
        <family val="2"/>
        <scheme val="minor"/>
      </rPr>
      <t>(if they Survive)</t>
    </r>
  </si>
  <si>
    <r>
      <t>4. Chances that a New Leader will Emerge</t>
    </r>
    <r>
      <rPr>
        <sz val="14"/>
        <color rgb="FF002060"/>
        <rFont val="Calibri"/>
        <family val="2"/>
        <scheme val="minor"/>
      </rPr>
      <t xml:space="preserve"> </t>
    </r>
    <r>
      <rPr>
        <i/>
        <sz val="14"/>
        <color rgb="FF002060"/>
        <rFont val="Calibri"/>
        <family val="2"/>
        <scheme val="minor"/>
      </rPr>
      <t>(if less than 3)</t>
    </r>
  </si>
  <si>
    <t>1. Encounter Success</t>
  </si>
  <si>
    <t>2. Risk of Death</t>
  </si>
  <si>
    <t>3. Leader Promotions</t>
  </si>
  <si>
    <t>4. New Leaders</t>
  </si>
  <si>
    <r>
      <rPr>
        <b/>
        <i/>
        <sz val="10"/>
        <color rgb="FF002060"/>
        <rFont val="Calibri"/>
        <family val="2"/>
        <scheme val="minor"/>
      </rPr>
      <t>NOTE:</t>
    </r>
    <r>
      <rPr>
        <i/>
        <sz val="10"/>
        <color rgb="FF002060"/>
        <rFont val="Calibri"/>
        <family val="2"/>
        <scheme val="minor"/>
      </rPr>
      <t xml:space="preserve">  Mastery at sea provides the movement bonus only. Other bonuses are likely provided by Seafaring and other traits.</t>
    </r>
  </si>
  <si>
    <r>
      <t xml:space="preserve">*** This Player Aid was developed using Microsoft Excel 2013.  The minimum 'safe' requirement is Excel 2010 and up. ***
</t>
    </r>
    <r>
      <rPr>
        <i/>
        <sz val="11"/>
        <color rgb="FFC00000"/>
        <rFont val="Calibri"/>
        <family val="2"/>
        <scheme val="minor"/>
      </rPr>
      <t>Some calculators will work with older versions of Excel, but they may produce potential errors.</t>
    </r>
  </si>
  <si>
    <t>The warriors are worth +15 bonus points in Unusual Sighting encounters: so if normally 10 points are added for a kingdom’s warriors in an unusual sighting, Adventurers get 20 points for their warriors. This kingdom does not require a wizard capable of casting Light or Bridge where normally required in excellent or superior unusual sightings. +10 points to leadership promotion and -10% to leader and wizard death in unusual encounters. +10 points to Rescue and Escape attempts.</t>
  </si>
  <si>
    <t>Kingdoms with the Archers trait get 50% of missile value at long range in the forest (normally 0%) and 100% at short range missile (normally 50%) in the forest. They get 50% long range missile fire in the mountains (normally 25%), also 75% in short range missile fire. They provide excellent rear-guard action, so their kingdom suffers only 50% of normal casualties in retreat (cumulative with other traits).</t>
  </si>
  <si>
    <t>If the kingdom does not have a High Priestess, successfully undertaking the Test for the Gift and so unveiling a new HP does not cost Influence. HP only gets Exhausted 25% of time (normally 50%). Declared Enemies get -3 morale in controlled regions if they are Suspicious or -5 morale if Hostile per turn the group is in the region if a Devout kingdom controls the region. Cost of Attract Noble Maiden and Test for the Gift are 50% of normal and no influence cost if the kingdom has no High Priestess or Noble Maiden at the time those orders are given. Cost of building a temple is 50%. Success in the Test for the Gift is +15 points. They gain the Lesser Angel and Avenging Angel spells. Devout kingdoms have -2 to maximum trainable agent level and +1000 to magic research cost. They have only two skeletons in the closet.</t>
  </si>
  <si>
    <t>DYNASTY</t>
  </si>
  <si>
    <t>Start with a Prince or Princess and +1 influence.</t>
  </si>
  <si>
    <t>- DYNASTY</t>
  </si>
  <si>
    <t>DYNASTY -</t>
  </si>
  <si>
    <t>Great movement abilities, +20% attack value vs. PC’s. Recon own group area as L1. Patrols have 32 movement points. Intercept range is +2. (Base is 3 so Flight intercept is 5). Flying groups cannot be Flanked in battle, but gain the ability to use the Flank tactic. They are unaffected by the Flash Flood spell, as well as Earthquake and Wall of Flame.</t>
  </si>
  <si>
    <t>+3 to starting naval quality, -2,000 gold to fleet construction cost. Interdict at 80%, own patrol-sized groups interdicted only 50% of normal (so if normally a patrol-sized group is interdicted 30% of the time, Seafaring nations would have theirs interdicted 15% of the time). Sea Patrol Interdiction is the entire sea as in 2nd Cycle. They begin with an additional fleet in each sea where they have a fleet.</t>
  </si>
  <si>
    <t>Bonus to laying siege: a town (not cities or villages) can be sieged in two turns (instead of 3). Non-allied emissaries attempting to relocate from a population center under siege will undergo a 50% chance of capture and 70% upon the completion of a siege (normally 30%/50%). Towns and cities attacked (#150 or derivative orders like #160) by a kingdom with Siege Engineering have 10% subtracted from their defense. Any war machine(s) they possess will give +15% to base combat strength in attacks against pc's. Owned PC's of the kingdom gain 10% to the defense from the use of defending ballistae and catapults.</t>
  </si>
  <si>
    <t>The kingdom has gone to lengths to establish a network of agents. It begins with an additional Level 6 and Level 3 agents at the capital. The cost for increasing agent training is reduced by 20%.</t>
  </si>
  <si>
    <t>+15/+10/-10/+0</t>
  </si>
  <si>
    <t>Select the Kingdom you are playing .</t>
  </si>
  <si>
    <r>
      <rPr>
        <i/>
        <sz val="9"/>
        <color rgb="FF002060"/>
        <rFont val="Calibri"/>
        <family val="2"/>
        <scheme val="minor"/>
      </rPr>
      <t xml:space="preserve">(a) </t>
    </r>
    <r>
      <rPr>
        <b/>
        <sz val="9"/>
        <color rgb="FF002060"/>
        <rFont val="Calibri"/>
        <family val="2"/>
        <scheme val="minor"/>
      </rPr>
      <t>Kingdom</t>
    </r>
  </si>
  <si>
    <r>
      <rPr>
        <i/>
        <sz val="9"/>
        <color rgb="FF002060"/>
        <rFont val="Calibri"/>
        <family val="2"/>
        <scheme val="minor"/>
      </rPr>
      <t xml:space="preserve">(b) </t>
    </r>
    <r>
      <rPr>
        <b/>
        <sz val="9"/>
        <color rgb="FF002060"/>
        <rFont val="Calibri"/>
        <family val="2"/>
        <scheme val="minor"/>
      </rPr>
      <t>Emissary</t>
    </r>
  </si>
  <si>
    <r>
      <rPr>
        <i/>
        <sz val="9"/>
        <color rgb="FF002060"/>
        <rFont val="Calibri"/>
        <family val="2"/>
        <scheme val="minor"/>
      </rPr>
      <t xml:space="preserve">(c) </t>
    </r>
    <r>
      <rPr>
        <b/>
        <sz val="9"/>
        <color rgb="FF002060"/>
        <rFont val="Calibri"/>
        <family val="2"/>
        <scheme val="minor"/>
      </rPr>
      <t>Influence</t>
    </r>
  </si>
  <si>
    <r>
      <rPr>
        <i/>
        <sz val="9"/>
        <color rgb="FF002060"/>
        <rFont val="Calibri"/>
        <family val="2"/>
        <scheme val="minor"/>
      </rPr>
      <t xml:space="preserve">(d) </t>
    </r>
    <r>
      <rPr>
        <b/>
        <sz val="9"/>
        <color rgb="FF002060"/>
        <rFont val="Calibri"/>
        <family val="2"/>
        <scheme val="minor"/>
      </rPr>
      <t>Reg React.</t>
    </r>
  </si>
  <si>
    <r>
      <t xml:space="preserve">(a). Select the Emissary's </t>
    </r>
    <r>
      <rPr>
        <b/>
        <i/>
        <sz val="10"/>
        <color rgb="FF002060"/>
        <rFont val="Calibri"/>
        <family val="2"/>
        <scheme val="minor"/>
      </rPr>
      <t>kingdom</t>
    </r>
    <r>
      <rPr>
        <i/>
        <sz val="10"/>
        <color rgb="FF002060"/>
        <rFont val="Calibri"/>
        <family val="2"/>
        <scheme val="minor"/>
      </rPr>
      <t>.</t>
    </r>
  </si>
  <si>
    <r>
      <t xml:space="preserve">(b). Select the emissary's </t>
    </r>
    <r>
      <rPr>
        <b/>
        <i/>
        <sz val="10"/>
        <color rgb="FF002060"/>
        <rFont val="Calibri"/>
        <family val="2"/>
        <scheme val="minor"/>
      </rPr>
      <t>rank</t>
    </r>
    <r>
      <rPr>
        <i/>
        <sz val="10"/>
        <color rgb="FF002060"/>
        <rFont val="Calibri"/>
        <family val="2"/>
        <scheme val="minor"/>
      </rPr>
      <t>.</t>
    </r>
  </si>
  <si>
    <r>
      <t xml:space="preserve">(d). Estimate that king's </t>
    </r>
    <r>
      <rPr>
        <b/>
        <i/>
        <sz val="10"/>
        <color rgb="FF002060"/>
        <rFont val="Calibri"/>
        <family val="2"/>
        <scheme val="minor"/>
      </rPr>
      <t>RR</t>
    </r>
    <r>
      <rPr>
        <i/>
        <sz val="10"/>
        <color rgb="FF002060"/>
        <rFont val="Calibri"/>
        <family val="2"/>
        <scheme val="minor"/>
      </rPr>
      <t>.</t>
    </r>
  </si>
  <si>
    <r>
      <t xml:space="preserve">(c). Enter </t>
    </r>
    <r>
      <rPr>
        <b/>
        <i/>
        <sz val="10"/>
        <color rgb="FF002060"/>
        <rFont val="Calibri"/>
        <family val="2"/>
        <scheme val="minor"/>
      </rPr>
      <t>influence</t>
    </r>
    <r>
      <rPr>
        <i/>
        <sz val="10"/>
        <color rgb="FF002060"/>
        <rFont val="Calibri"/>
        <family val="2"/>
        <scheme val="minor"/>
      </rPr>
      <t xml:space="preserve"> (from 2 turns ago).</t>
    </r>
  </si>
  <si>
    <r>
      <t xml:space="preserve">(d). Select </t>
    </r>
    <r>
      <rPr>
        <b/>
        <i/>
        <sz val="10"/>
        <color rgb="FF002060"/>
        <rFont val="Calibri"/>
        <family val="2"/>
        <scheme val="minor"/>
      </rPr>
      <t>RR</t>
    </r>
    <r>
      <rPr>
        <i/>
        <sz val="10"/>
        <color rgb="FF002060"/>
        <rFont val="Calibri"/>
        <family val="2"/>
        <scheme val="minor"/>
      </rPr>
      <t xml:space="preserve"> (from 2 turns ago).</t>
    </r>
  </si>
  <si>
    <r>
      <rPr>
        <i/>
        <sz val="10"/>
        <color rgb="FF002060"/>
        <rFont val="Calibri"/>
        <family val="2"/>
        <scheme val="minor"/>
      </rPr>
      <t xml:space="preserve">(d) </t>
    </r>
    <r>
      <rPr>
        <b/>
        <sz val="10"/>
        <color rgb="FF002060"/>
        <rFont val="Calibri"/>
        <family val="2"/>
        <scheme val="minor"/>
      </rPr>
      <t>Reg React.</t>
    </r>
  </si>
  <si>
    <t>Quest Artifact</t>
  </si>
  <si>
    <t>Variable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</si>
</sst>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quot;Level x&quot;\ 0"/>
    <numFmt numFmtId="165" formatCode="0_ "/>
    <numFmt numFmtId="166" formatCode="#,##0_ "/>
    <numFmt numFmtId="167" formatCode="0.0_ "/>
    <numFmt numFmtId="168" formatCode="0.0"/>
    <numFmt numFmtId="169" formatCode="0\ &quot;points of C.E.&quot;"/>
    <numFmt numFmtId="170" formatCode="0.0%"/>
  </numFmts>
  <fonts count="12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20"/>
      <color rgb="FFFFFF00"/>
      <name val="Calibri"/>
      <family val="2"/>
      <scheme val="minor"/>
    </font>
    <font>
      <b/>
      <sz val="20"/>
      <color rgb="FFFFFF00"/>
      <name val="Calibri"/>
      <family val="2"/>
      <scheme val="minor"/>
    </font>
    <font>
      <b/>
      <sz val="12"/>
      <color theme="1"/>
      <name val="Calibri"/>
      <family val="2"/>
      <scheme val="minor"/>
    </font>
    <font>
      <b/>
      <sz val="14"/>
      <color theme="1"/>
      <name val="Calibri"/>
      <family val="2"/>
      <scheme val="minor"/>
    </font>
    <font>
      <b/>
      <sz val="11"/>
      <color rgb="FF002060"/>
      <name val="Calibri"/>
      <family val="2"/>
      <scheme val="minor"/>
    </font>
    <font>
      <i/>
      <sz val="9"/>
      <color rgb="FFFF0000"/>
      <name val="Calibri"/>
      <family val="2"/>
      <scheme val="minor"/>
    </font>
    <font>
      <sz val="10"/>
      <color theme="1"/>
      <name val="Calibri"/>
      <family val="2"/>
      <scheme val="minor"/>
    </font>
    <font>
      <u/>
      <sz val="11"/>
      <color theme="10"/>
      <name val="Calibri"/>
      <family val="2"/>
      <scheme val="minor"/>
    </font>
    <font>
      <sz val="10"/>
      <color rgb="FF002060"/>
      <name val="Calibri"/>
      <family val="2"/>
      <scheme val="minor"/>
    </font>
    <font>
      <sz val="11"/>
      <color rgb="FF002060"/>
      <name val="Calibri"/>
      <family val="2"/>
      <scheme val="minor"/>
    </font>
    <font>
      <i/>
      <sz val="10"/>
      <color rgb="FF002060"/>
      <name val="Calibri"/>
      <family val="2"/>
      <scheme val="minor"/>
    </font>
    <font>
      <b/>
      <sz val="10"/>
      <color rgb="FF002060"/>
      <name val="Calibri"/>
      <family val="2"/>
      <scheme val="minor"/>
    </font>
    <font>
      <b/>
      <i/>
      <sz val="11"/>
      <color rgb="FF002060"/>
      <name val="Calibri"/>
      <family val="2"/>
      <scheme val="minor"/>
    </font>
    <font>
      <i/>
      <sz val="11"/>
      <color rgb="FF002060"/>
      <name val="Calibri"/>
      <family val="2"/>
      <scheme val="minor"/>
    </font>
    <font>
      <b/>
      <sz val="11"/>
      <color rgb="FF0070C0"/>
      <name val="Calibri"/>
      <family val="2"/>
      <scheme val="minor"/>
    </font>
    <font>
      <sz val="12"/>
      <color theme="1"/>
      <name val="Calibri"/>
      <family val="2"/>
      <scheme val="minor"/>
    </font>
    <font>
      <b/>
      <sz val="12"/>
      <color rgb="FF002060"/>
      <name val="Calibri"/>
      <family val="2"/>
      <scheme val="minor"/>
    </font>
    <font>
      <b/>
      <sz val="12"/>
      <color rgb="FF0070C0"/>
      <name val="Calibri"/>
      <family val="2"/>
      <scheme val="minor"/>
    </font>
    <font>
      <b/>
      <sz val="10"/>
      <color theme="1"/>
      <name val="Calibri"/>
      <family val="2"/>
      <scheme val="minor"/>
    </font>
    <font>
      <sz val="11"/>
      <name val="Calibri"/>
      <family val="2"/>
      <scheme val="minor"/>
    </font>
    <font>
      <b/>
      <sz val="14"/>
      <name val="Calibri"/>
      <family val="2"/>
      <scheme val="minor"/>
    </font>
    <font>
      <b/>
      <sz val="11"/>
      <name val="Calibri"/>
      <family val="2"/>
      <scheme val="minor"/>
    </font>
    <font>
      <sz val="8"/>
      <color theme="1"/>
      <name val="Calibri"/>
      <family val="2"/>
      <scheme val="minor"/>
    </font>
    <font>
      <sz val="7"/>
      <color rgb="FF002060"/>
      <name val="Calibri"/>
      <family val="2"/>
      <scheme val="minor"/>
    </font>
    <font>
      <b/>
      <sz val="26"/>
      <color rgb="FFFFFF00"/>
      <name val="Calibri"/>
      <family val="2"/>
      <scheme val="minor"/>
    </font>
    <font>
      <sz val="12"/>
      <color rgb="FF002060"/>
      <name val="Calibri"/>
      <family val="2"/>
      <scheme val="minor"/>
    </font>
    <font>
      <sz val="10"/>
      <name val="Calibri"/>
      <family val="2"/>
      <scheme val="minor"/>
    </font>
    <font>
      <sz val="10"/>
      <color rgb="FFC00000"/>
      <name val="Calibri"/>
      <family val="2"/>
      <scheme val="minor"/>
    </font>
    <font>
      <b/>
      <sz val="10"/>
      <color rgb="FFC00000"/>
      <name val="Calibri"/>
      <family val="2"/>
      <scheme val="minor"/>
    </font>
    <font>
      <b/>
      <sz val="22"/>
      <color rgb="FFFFFF00"/>
      <name val="Calibri"/>
      <family val="2"/>
      <scheme val="minor"/>
    </font>
    <font>
      <i/>
      <sz val="11"/>
      <color rgb="FF0070C0"/>
      <name val="Calibri"/>
      <family val="2"/>
      <scheme val="minor"/>
    </font>
    <font>
      <i/>
      <sz val="9"/>
      <color rgb="FFC00000"/>
      <name val="Calibri"/>
      <family val="2"/>
      <scheme val="minor"/>
    </font>
    <font>
      <b/>
      <i/>
      <sz val="12"/>
      <color rgb="FFFFFF00"/>
      <name val="Calibri"/>
      <family val="2"/>
      <scheme val="minor"/>
    </font>
    <font>
      <i/>
      <sz val="9"/>
      <color rgb="FF002060"/>
      <name val="Calibri"/>
      <family val="2"/>
      <scheme val="minor"/>
    </font>
    <font>
      <sz val="9"/>
      <name val="Calibri"/>
      <family val="2"/>
      <scheme val="minor"/>
    </font>
    <font>
      <b/>
      <sz val="9"/>
      <name val="Calibri"/>
      <family val="2"/>
      <scheme val="minor"/>
    </font>
    <font>
      <sz val="11"/>
      <color theme="1"/>
      <name val="Calibri"/>
      <family val="2"/>
    </font>
    <font>
      <sz val="10"/>
      <color rgb="FF002060"/>
      <name val="Calibri"/>
      <family val="2"/>
    </font>
    <font>
      <i/>
      <sz val="10"/>
      <color rgb="FF000000"/>
      <name val="Calibri"/>
      <family val="2"/>
    </font>
    <font>
      <b/>
      <i/>
      <sz val="10"/>
      <color rgb="FF002060"/>
      <name val="Calibri"/>
      <family val="2"/>
    </font>
    <font>
      <sz val="10"/>
      <color theme="0"/>
      <name val="Calibri"/>
      <family val="2"/>
    </font>
    <font>
      <b/>
      <sz val="14"/>
      <color rgb="FF002060"/>
      <name val="Calibri"/>
      <family val="2"/>
    </font>
    <font>
      <sz val="10"/>
      <color rgb="FF000000"/>
      <name val="Calibri"/>
      <family val="2"/>
    </font>
    <font>
      <b/>
      <sz val="12"/>
      <color rgb="FF000000"/>
      <name val="Calibri"/>
      <family val="2"/>
    </font>
    <font>
      <sz val="11"/>
      <color rgb="FF000000"/>
      <name val="Calibri"/>
      <family val="2"/>
    </font>
    <font>
      <b/>
      <sz val="11"/>
      <color rgb="FF000000"/>
      <name val="Calibri"/>
      <family val="2"/>
    </font>
    <font>
      <i/>
      <sz val="10"/>
      <name val="Calibri"/>
      <family val="2"/>
    </font>
    <font>
      <b/>
      <sz val="18"/>
      <color rgb="FFFFFF00"/>
      <name val="Calibri"/>
      <family val="2"/>
    </font>
    <font>
      <b/>
      <sz val="14"/>
      <color theme="1"/>
      <name val="Copperplate Gothic Bold"/>
      <family val="2"/>
    </font>
    <font>
      <sz val="14"/>
      <color theme="1"/>
      <name val="Copperplate Gothic Bold"/>
      <family val="2"/>
    </font>
    <font>
      <i/>
      <sz val="11"/>
      <color theme="1"/>
      <name val="Calibri"/>
      <family val="2"/>
      <scheme val="minor"/>
    </font>
    <font>
      <i/>
      <sz val="10"/>
      <color theme="0" tint="-0.499984740745262"/>
      <name val="Calibri"/>
      <family val="2"/>
      <scheme val="minor"/>
    </font>
    <font>
      <sz val="22"/>
      <color rgb="FFFFFF00"/>
      <name val="Calibri"/>
      <family val="2"/>
      <scheme val="minor"/>
    </font>
    <font>
      <sz val="10"/>
      <color rgb="FF000000"/>
      <name val="Calibri"/>
      <family val="2"/>
      <scheme val="minor"/>
    </font>
    <font>
      <sz val="12"/>
      <color rgb="FF000000"/>
      <name val="Calibri"/>
      <family val="2"/>
      <scheme val="minor"/>
    </font>
    <font>
      <i/>
      <u/>
      <sz val="10"/>
      <color rgb="FF002060"/>
      <name val="Calibri"/>
      <family val="2"/>
      <scheme val="minor"/>
    </font>
    <font>
      <sz val="9"/>
      <color rgb="FF000000"/>
      <name val="Calibri"/>
      <family val="2"/>
      <scheme val="minor"/>
    </font>
    <font>
      <i/>
      <sz val="10"/>
      <color rgb="FF000000"/>
      <name val="Calibri"/>
      <family val="2"/>
      <scheme val="minor"/>
    </font>
    <font>
      <i/>
      <sz val="10"/>
      <color theme="1"/>
      <name val="Calibri"/>
      <family val="2"/>
      <scheme val="minor"/>
    </font>
    <font>
      <b/>
      <sz val="12"/>
      <color rgb="FFC00000"/>
      <name val="Calibri"/>
      <family val="2"/>
      <scheme val="minor"/>
    </font>
    <font>
      <b/>
      <i/>
      <sz val="10"/>
      <color rgb="FF002060"/>
      <name val="Calibri"/>
      <family val="2"/>
      <scheme val="minor"/>
    </font>
    <font>
      <b/>
      <sz val="12"/>
      <name val="Calibri"/>
      <family val="2"/>
      <scheme val="minor"/>
    </font>
    <font>
      <sz val="9"/>
      <color theme="1"/>
      <name val="Calibri"/>
      <family val="2"/>
      <scheme val="minor"/>
    </font>
    <font>
      <b/>
      <sz val="9"/>
      <color theme="1"/>
      <name val="Calibri"/>
      <family val="2"/>
      <scheme val="minor"/>
    </font>
    <font>
      <sz val="9"/>
      <color theme="0"/>
      <name val="Calibri"/>
      <family val="2"/>
      <scheme val="minor"/>
    </font>
    <font>
      <b/>
      <sz val="9"/>
      <color rgb="FF002060"/>
      <name val="Calibri"/>
      <family val="2"/>
      <scheme val="minor"/>
    </font>
    <font>
      <i/>
      <sz val="10"/>
      <color rgb="FFFF0000"/>
      <name val="Calibri"/>
      <family val="2"/>
      <scheme val="minor"/>
    </font>
    <font>
      <i/>
      <sz val="9"/>
      <color rgb="FF00B050"/>
      <name val="Calibri"/>
      <family val="2"/>
      <scheme val="minor"/>
    </font>
    <font>
      <b/>
      <sz val="14"/>
      <color rgb="FFC00000"/>
      <name val="Calibri"/>
      <family val="2"/>
      <scheme val="minor"/>
    </font>
    <font>
      <sz val="10"/>
      <color indexed="8"/>
      <name val="Arial"/>
      <family val="2"/>
    </font>
    <font>
      <b/>
      <sz val="11"/>
      <color indexed="8"/>
      <name val="Calibri"/>
      <family val="2"/>
    </font>
    <font>
      <sz val="16"/>
      <color rgb="FF002060"/>
      <name val="Calibri"/>
      <family val="2"/>
      <scheme val="minor"/>
    </font>
    <font>
      <b/>
      <sz val="16"/>
      <color rgb="FF002060"/>
      <name val="Calibri"/>
      <family val="2"/>
      <scheme val="minor"/>
    </font>
    <font>
      <i/>
      <sz val="11"/>
      <name val="Calibri"/>
      <family val="2"/>
      <scheme val="minor"/>
    </font>
    <font>
      <sz val="10"/>
      <name val="Calibri"/>
      <family val="2"/>
    </font>
    <font>
      <b/>
      <u/>
      <sz val="11"/>
      <color theme="1"/>
      <name val="Calibri"/>
      <family val="2"/>
      <scheme val="minor"/>
    </font>
    <font>
      <b/>
      <u/>
      <sz val="10"/>
      <color theme="1"/>
      <name val="Calibri"/>
      <family val="2"/>
      <scheme val="minor"/>
    </font>
    <font>
      <b/>
      <i/>
      <sz val="11"/>
      <color theme="1"/>
      <name val="Calibri"/>
      <family val="2"/>
      <scheme val="minor"/>
    </font>
    <font>
      <b/>
      <i/>
      <sz val="11"/>
      <color rgb="FF00B050"/>
      <name val="Calibri"/>
      <family val="2"/>
      <scheme val="minor"/>
    </font>
    <font>
      <b/>
      <i/>
      <sz val="11"/>
      <color rgb="FF0070C0"/>
      <name val="Calibri"/>
      <family val="2"/>
      <scheme val="minor"/>
    </font>
    <font>
      <b/>
      <i/>
      <sz val="11"/>
      <color theme="7" tint="-0.499984740745262"/>
      <name val="Calibri"/>
      <family val="2"/>
      <scheme val="minor"/>
    </font>
    <font>
      <b/>
      <i/>
      <sz val="11"/>
      <color rgb="FFFF0000"/>
      <name val="Calibri"/>
      <family val="2"/>
      <scheme val="minor"/>
    </font>
    <font>
      <i/>
      <sz val="16"/>
      <color rgb="FF002060"/>
      <name val="Calibri"/>
      <family val="2"/>
      <scheme val="minor"/>
    </font>
    <font>
      <i/>
      <sz val="14"/>
      <color rgb="FF002060"/>
      <name val="Calibri"/>
      <family val="2"/>
      <scheme val="minor"/>
    </font>
    <font>
      <sz val="14"/>
      <color rgb="FF002060"/>
      <name val="Calibri"/>
      <family val="2"/>
      <scheme val="minor"/>
    </font>
    <font>
      <i/>
      <sz val="10"/>
      <name val="Calibri"/>
      <family val="2"/>
      <scheme val="minor"/>
    </font>
    <font>
      <i/>
      <sz val="10"/>
      <color rgb="FF0070C0"/>
      <name val="Calibri"/>
      <family val="2"/>
      <scheme val="minor"/>
    </font>
    <font>
      <sz val="9"/>
      <color rgb="FFC00000"/>
      <name val="Calibri"/>
      <family val="2"/>
      <scheme val="minor"/>
    </font>
    <font>
      <b/>
      <u/>
      <sz val="12"/>
      <color rgb="FF002060"/>
      <name val="Calibri"/>
      <family val="2"/>
      <scheme val="minor"/>
    </font>
    <font>
      <b/>
      <u/>
      <sz val="12"/>
      <color rgb="FF0070C0"/>
      <name val="Calibri"/>
      <family val="2"/>
      <scheme val="minor"/>
    </font>
    <font>
      <sz val="11"/>
      <color rgb="FFFF0000"/>
      <name val="Calibri"/>
      <family val="2"/>
    </font>
    <font>
      <b/>
      <sz val="9"/>
      <name val="Calibri"/>
      <family val="2"/>
    </font>
    <font>
      <i/>
      <sz val="9"/>
      <color rgb="FF002060"/>
      <name val="Calibri"/>
      <family val="2"/>
    </font>
    <font>
      <b/>
      <sz val="9"/>
      <color rgb="FFC00000"/>
      <name val="Calibri"/>
      <family val="2"/>
      <scheme val="minor"/>
    </font>
    <font>
      <b/>
      <u/>
      <sz val="9"/>
      <color rgb="FFC00000"/>
      <name val="Calibri"/>
      <family val="2"/>
      <scheme val="minor"/>
    </font>
    <font>
      <b/>
      <i/>
      <sz val="9"/>
      <color rgb="FF002060"/>
      <name val="Calibri"/>
      <family val="2"/>
    </font>
    <font>
      <sz val="9"/>
      <name val="Calibri"/>
      <family val="2"/>
    </font>
    <font>
      <sz val="9"/>
      <color theme="9" tint="-0.499984740745262"/>
      <name val="Calibri"/>
      <family val="2"/>
    </font>
    <font>
      <sz val="9"/>
      <color rgb="FF002060"/>
      <name val="Calibri"/>
      <family val="2"/>
    </font>
    <font>
      <sz val="9"/>
      <color rgb="FFC00000"/>
      <name val="Calibri"/>
      <family val="2"/>
    </font>
    <font>
      <b/>
      <sz val="9"/>
      <color rgb="FFC00000"/>
      <name val="Calibri"/>
      <family val="2"/>
    </font>
    <font>
      <sz val="9"/>
      <color rgb="FFFF0000"/>
      <name val="Calibri"/>
      <family val="2"/>
    </font>
    <font>
      <i/>
      <sz val="9"/>
      <name val="Calibri"/>
      <family val="2"/>
    </font>
    <font>
      <b/>
      <i/>
      <sz val="9"/>
      <color rgb="FFC00000"/>
      <name val="Calibri"/>
      <family val="2"/>
    </font>
    <font>
      <b/>
      <i/>
      <sz val="11"/>
      <color rgb="FF002060"/>
      <name val="Calibri"/>
      <family val="2"/>
    </font>
    <font>
      <sz val="9"/>
      <color rgb="FF002060"/>
      <name val="Calibri"/>
      <family val="2"/>
      <scheme val="minor"/>
    </font>
    <font>
      <u/>
      <sz val="9"/>
      <color rgb="FFC00000"/>
      <name val="Calibri"/>
      <family val="2"/>
      <scheme val="minor"/>
    </font>
    <font>
      <b/>
      <u/>
      <sz val="11"/>
      <color rgb="FF002060"/>
      <name val="Calibri"/>
      <family val="2"/>
    </font>
    <font>
      <i/>
      <sz val="10"/>
      <color rgb="FFC00000"/>
      <name val="Calibri"/>
      <family val="2"/>
      <scheme val="minor"/>
    </font>
    <font>
      <i/>
      <sz val="11"/>
      <color indexed="8"/>
      <name val="Calibri"/>
      <family val="2"/>
    </font>
    <font>
      <i/>
      <sz val="10"/>
      <color rgb="FF00B050"/>
      <name val="Calibri"/>
      <family val="2"/>
      <scheme val="minor"/>
    </font>
    <font>
      <sz val="11"/>
      <color theme="1"/>
      <name val="Corbel"/>
      <family val="2"/>
    </font>
    <font>
      <sz val="9"/>
      <name val="Arial"/>
      <family val="2"/>
    </font>
    <font>
      <i/>
      <sz val="11"/>
      <color theme="0" tint="-0.499984740745262"/>
      <name val="Calibri"/>
      <family val="2"/>
      <scheme val="minor"/>
    </font>
    <font>
      <i/>
      <sz val="11"/>
      <color rgb="FFC00000"/>
      <name val="Calibri"/>
      <family val="2"/>
      <scheme val="minor"/>
    </font>
    <font>
      <b/>
      <sz val="11"/>
      <name val="Calibri"/>
      <family val="2"/>
    </font>
    <font>
      <sz val="11"/>
      <color theme="0"/>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7"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C00000"/>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rgb="FF92D050"/>
        <bgColor indexed="64"/>
      </patternFill>
    </fill>
    <fill>
      <patternFill patternType="solid">
        <fgColor theme="9" tint="-0.249977111117893"/>
        <bgColor indexed="64"/>
      </patternFill>
    </fill>
    <fill>
      <patternFill patternType="solid">
        <fgColor rgb="FF7030A0"/>
        <bgColor indexed="64"/>
      </patternFill>
    </fill>
    <fill>
      <patternFill patternType="solid">
        <fgColor theme="4" tint="0.39997558519241921"/>
        <bgColor indexed="64"/>
      </patternFill>
    </fill>
    <fill>
      <patternFill patternType="solid">
        <fgColor rgb="FF0070C0"/>
        <bgColor indexed="64"/>
      </patternFill>
    </fill>
    <fill>
      <patternFill patternType="solid">
        <fgColor indexed="22"/>
        <bgColor indexed="0"/>
      </patternFill>
    </fill>
    <fill>
      <patternFill patternType="solid">
        <fgColor theme="7" tint="0.39997558519241921"/>
        <bgColor indexed="64"/>
      </patternFill>
    </fill>
    <fill>
      <patternFill patternType="solid">
        <fgColor theme="5" tint="0.79998168889431442"/>
        <bgColor indexed="64"/>
      </patternFill>
    </fill>
  </fills>
  <borders count="133">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hair">
        <color indexed="64"/>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medium">
        <color indexed="64"/>
      </left>
      <right style="medium">
        <color indexed="64"/>
      </right>
      <top style="medium">
        <color indexed="64"/>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hair">
        <color rgb="FF002060"/>
      </top>
      <bottom style="hair">
        <color rgb="FF002060"/>
      </bottom>
      <diagonal/>
    </border>
    <border>
      <left style="dotted">
        <color auto="1"/>
      </left>
      <right style="dotted">
        <color auto="1"/>
      </right>
      <top style="hair">
        <color auto="1"/>
      </top>
      <bottom style="hair">
        <color auto="1"/>
      </bottom>
      <diagonal/>
    </border>
    <border>
      <left style="double">
        <color rgb="FF002060"/>
      </left>
      <right style="dotted">
        <color auto="1"/>
      </right>
      <top style="hair">
        <color auto="1"/>
      </top>
      <bottom style="hair">
        <color auto="1"/>
      </bottom>
      <diagonal/>
    </border>
    <border>
      <left style="dotted">
        <color auto="1"/>
      </left>
      <right style="double">
        <color rgb="FF002060"/>
      </right>
      <top style="hair">
        <color auto="1"/>
      </top>
      <bottom style="hair">
        <color auto="1"/>
      </bottom>
      <diagonal/>
    </border>
    <border>
      <left style="double">
        <color rgb="FF002060"/>
      </left>
      <right/>
      <top style="double">
        <color rgb="FF002060"/>
      </top>
      <bottom style="hair">
        <color auto="1"/>
      </bottom>
      <diagonal/>
    </border>
    <border>
      <left style="double">
        <color rgb="FF002060"/>
      </left>
      <right/>
      <top style="hair">
        <color auto="1"/>
      </top>
      <bottom style="hair">
        <color auto="1"/>
      </bottom>
      <diagonal/>
    </border>
    <border>
      <left style="double">
        <color rgb="FF002060"/>
      </left>
      <right/>
      <top style="hair">
        <color auto="1"/>
      </top>
      <bottom style="double">
        <color rgb="FF002060"/>
      </bottom>
      <diagonal/>
    </border>
    <border>
      <left style="double">
        <color rgb="FF002060"/>
      </left>
      <right style="dotted">
        <color auto="1"/>
      </right>
      <top/>
      <bottom style="hair">
        <color auto="1"/>
      </bottom>
      <diagonal/>
    </border>
    <border>
      <left style="dotted">
        <color auto="1"/>
      </left>
      <right style="dotted">
        <color auto="1"/>
      </right>
      <top/>
      <bottom style="hair">
        <color auto="1"/>
      </bottom>
      <diagonal/>
    </border>
    <border>
      <left style="dotted">
        <color auto="1"/>
      </left>
      <right style="double">
        <color rgb="FF002060"/>
      </right>
      <top/>
      <bottom style="hair">
        <color auto="1"/>
      </bottom>
      <diagonal/>
    </border>
    <border>
      <left/>
      <right/>
      <top style="double">
        <color rgb="FF002060"/>
      </top>
      <bottom style="hair">
        <color rgb="FF002060"/>
      </bottom>
      <diagonal/>
    </border>
    <border>
      <left/>
      <right style="double">
        <color rgb="FF002060"/>
      </right>
      <top style="double">
        <color rgb="FF002060"/>
      </top>
      <bottom style="hair">
        <color rgb="FF002060"/>
      </bottom>
      <diagonal/>
    </border>
    <border>
      <left/>
      <right style="double">
        <color rgb="FF002060"/>
      </right>
      <top style="hair">
        <color rgb="FF002060"/>
      </top>
      <bottom style="hair">
        <color rgb="FF002060"/>
      </bottom>
      <diagonal/>
    </border>
    <border>
      <left/>
      <right/>
      <top style="hair">
        <color rgb="FF002060"/>
      </top>
      <bottom style="double">
        <color rgb="FF002060"/>
      </bottom>
      <diagonal/>
    </border>
    <border>
      <left/>
      <right style="double">
        <color rgb="FF002060"/>
      </right>
      <top style="hair">
        <color rgb="FF002060"/>
      </top>
      <bottom style="double">
        <color rgb="FF002060"/>
      </bottom>
      <diagonal/>
    </border>
    <border>
      <left/>
      <right style="dotted">
        <color rgb="FF002060"/>
      </right>
      <top style="double">
        <color rgb="FF002060"/>
      </top>
      <bottom style="hair">
        <color auto="1"/>
      </bottom>
      <diagonal/>
    </border>
    <border>
      <left/>
      <right style="dotted">
        <color rgb="FF002060"/>
      </right>
      <top style="hair">
        <color auto="1"/>
      </top>
      <bottom style="hair">
        <color auto="1"/>
      </bottom>
      <diagonal/>
    </border>
    <border>
      <left/>
      <right style="dotted">
        <color rgb="FF002060"/>
      </right>
      <top style="hair">
        <color auto="1"/>
      </top>
      <bottom style="double">
        <color rgb="FF002060"/>
      </bottom>
      <diagonal/>
    </border>
    <border>
      <left style="double">
        <color rgb="FF002060"/>
      </left>
      <right/>
      <top style="double">
        <color rgb="FF002060"/>
      </top>
      <bottom style="thin">
        <color rgb="FF002060"/>
      </bottom>
      <diagonal/>
    </border>
    <border>
      <left style="dotted">
        <color auto="1"/>
      </left>
      <right style="dotted">
        <color auto="1"/>
      </right>
      <top style="double">
        <color rgb="FF002060"/>
      </top>
      <bottom style="thin">
        <color rgb="FF002060"/>
      </bottom>
      <diagonal/>
    </border>
    <border>
      <left style="dotted">
        <color auto="1"/>
      </left>
      <right style="double">
        <color rgb="FF002060"/>
      </right>
      <top style="double">
        <color rgb="FF002060"/>
      </top>
      <bottom style="thin">
        <color rgb="FF002060"/>
      </bottom>
      <diagonal/>
    </border>
    <border>
      <left style="double">
        <color rgb="FF002060"/>
      </left>
      <right style="dotted">
        <color auto="1"/>
      </right>
      <top style="hair">
        <color auto="1"/>
      </top>
      <bottom/>
      <diagonal/>
    </border>
    <border>
      <left style="dotted">
        <color auto="1"/>
      </left>
      <right style="dotted">
        <color auto="1"/>
      </right>
      <top style="hair">
        <color auto="1"/>
      </top>
      <bottom/>
      <diagonal/>
    </border>
    <border>
      <left style="dotted">
        <color auto="1"/>
      </left>
      <right style="double">
        <color rgb="FF002060"/>
      </right>
      <top style="hair">
        <color auto="1"/>
      </top>
      <bottom/>
      <diagonal/>
    </border>
    <border>
      <left style="double">
        <color rgb="FF002060"/>
      </left>
      <right/>
      <top style="thin">
        <color rgb="FF002060"/>
      </top>
      <bottom style="double">
        <color rgb="FF002060"/>
      </bottom>
      <diagonal/>
    </border>
    <border>
      <left style="dotted">
        <color auto="1"/>
      </left>
      <right style="dotted">
        <color auto="1"/>
      </right>
      <top style="thin">
        <color rgb="FF002060"/>
      </top>
      <bottom style="double">
        <color rgb="FF002060"/>
      </bottom>
      <diagonal/>
    </border>
    <border>
      <left style="dotted">
        <color auto="1"/>
      </left>
      <right style="double">
        <color rgb="FF002060"/>
      </right>
      <top style="thin">
        <color rgb="FF002060"/>
      </top>
      <bottom style="double">
        <color rgb="FF002060"/>
      </bottom>
      <diagonal/>
    </border>
    <border>
      <left/>
      <right style="medium">
        <color indexed="64"/>
      </right>
      <top/>
      <bottom/>
      <diagonal/>
    </border>
    <border>
      <left style="hair">
        <color rgb="FF002060"/>
      </left>
      <right/>
      <top style="hair">
        <color rgb="FF002060"/>
      </top>
      <bottom style="hair">
        <color rgb="FF002060"/>
      </bottom>
      <diagonal/>
    </border>
    <border>
      <left/>
      <right style="hair">
        <color rgb="FF002060"/>
      </right>
      <top style="hair">
        <color rgb="FF002060"/>
      </top>
      <bottom style="hair">
        <color rgb="FF002060"/>
      </bottom>
      <diagonal/>
    </border>
    <border>
      <left/>
      <right/>
      <top style="medium">
        <color indexed="64"/>
      </top>
      <bottom/>
      <diagonal/>
    </border>
    <border>
      <left style="hair">
        <color rgb="FF0070C0"/>
      </left>
      <right/>
      <top style="hair">
        <color rgb="FF0070C0"/>
      </top>
      <bottom style="hair">
        <color rgb="FF0070C0"/>
      </bottom>
      <diagonal/>
    </border>
    <border>
      <left/>
      <right/>
      <top style="hair">
        <color rgb="FF0070C0"/>
      </top>
      <bottom style="hair">
        <color rgb="FF0070C0"/>
      </bottom>
      <diagonal/>
    </border>
    <border>
      <left/>
      <right style="hair">
        <color rgb="FF0070C0"/>
      </right>
      <top style="hair">
        <color rgb="FF0070C0"/>
      </top>
      <bottom style="hair">
        <color rgb="FF0070C0"/>
      </bottom>
      <diagonal/>
    </border>
    <border>
      <left/>
      <right/>
      <top style="thin">
        <color indexed="64"/>
      </top>
      <bottom/>
      <diagonal/>
    </border>
    <border>
      <left/>
      <right style="thin">
        <color auto="1"/>
      </right>
      <top/>
      <bottom/>
      <diagonal/>
    </border>
    <border>
      <left style="thin">
        <color auto="1"/>
      </left>
      <right/>
      <top/>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thin">
        <color indexed="64"/>
      </top>
      <bottom/>
      <diagonal/>
    </border>
    <border>
      <left style="double">
        <color indexed="64"/>
      </left>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thin">
        <color indexed="64"/>
      </left>
      <right/>
      <top/>
      <bottom style="double">
        <color indexed="64"/>
      </bottom>
      <diagonal/>
    </border>
    <border>
      <left/>
      <right style="double">
        <color indexed="64"/>
      </right>
      <top style="double">
        <color indexed="64"/>
      </top>
      <bottom style="thin">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top style="hair">
        <color auto="1"/>
      </top>
      <bottom style="hair">
        <color auto="1"/>
      </bottom>
      <diagonal/>
    </border>
    <border>
      <left/>
      <right/>
      <top style="hair">
        <color auto="1"/>
      </top>
      <bottom/>
      <diagonal/>
    </border>
    <border>
      <left/>
      <right style="medium">
        <color indexed="64"/>
      </right>
      <top/>
      <bottom style="hair">
        <color indexed="64"/>
      </bottom>
      <diagonal/>
    </border>
    <border>
      <left/>
      <right/>
      <top style="thin">
        <color indexed="64"/>
      </top>
      <bottom style="thin">
        <color indexed="64"/>
      </bottom>
      <diagonal/>
    </border>
    <border>
      <left style="hair">
        <color auto="1"/>
      </left>
      <right/>
      <top style="hair">
        <color auto="1"/>
      </top>
      <bottom/>
      <diagonal/>
    </border>
    <border>
      <left/>
      <right style="hair">
        <color auto="1"/>
      </right>
      <top style="hair">
        <color auto="1"/>
      </top>
      <bottom/>
      <diagonal/>
    </border>
    <border>
      <left style="double">
        <color auto="1"/>
      </left>
      <right/>
      <top/>
      <bottom style="hair">
        <color auto="1"/>
      </bottom>
      <diagonal/>
    </border>
    <border>
      <left/>
      <right style="double">
        <color auto="1"/>
      </right>
      <top/>
      <bottom style="hair">
        <color auto="1"/>
      </bottom>
      <diagonal/>
    </border>
    <border>
      <left style="hair">
        <color auto="1"/>
      </left>
      <right/>
      <top/>
      <bottom/>
      <diagonal/>
    </border>
    <border>
      <left/>
      <right style="hair">
        <color auto="1"/>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top style="thin">
        <color indexed="64"/>
      </top>
      <bottom/>
      <diagonal/>
    </border>
    <border>
      <left style="hair">
        <color indexed="64"/>
      </left>
      <right/>
      <top/>
      <bottom style="double">
        <color indexed="64"/>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double">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double">
        <color indexed="64"/>
      </bottom>
      <diagonal/>
    </border>
    <border>
      <left style="hair">
        <color rgb="FFC00000"/>
      </left>
      <right/>
      <top style="hair">
        <color rgb="FFC00000"/>
      </top>
      <bottom/>
      <diagonal/>
    </border>
    <border>
      <left/>
      <right/>
      <top style="hair">
        <color rgb="FFC00000"/>
      </top>
      <bottom/>
      <diagonal/>
    </border>
    <border>
      <left/>
      <right style="hair">
        <color rgb="FFC00000"/>
      </right>
      <top style="hair">
        <color rgb="FFC00000"/>
      </top>
      <bottom/>
      <diagonal/>
    </border>
    <border>
      <left style="hair">
        <color rgb="FFC00000"/>
      </left>
      <right/>
      <top/>
      <bottom/>
      <diagonal/>
    </border>
    <border>
      <left/>
      <right style="hair">
        <color rgb="FFC00000"/>
      </right>
      <top/>
      <bottom/>
      <diagonal/>
    </border>
    <border>
      <left style="hair">
        <color rgb="FFC00000"/>
      </left>
      <right/>
      <top/>
      <bottom style="hair">
        <color rgb="FFC00000"/>
      </bottom>
      <diagonal/>
    </border>
    <border>
      <left/>
      <right/>
      <top/>
      <bottom style="hair">
        <color rgb="FFC00000"/>
      </bottom>
      <diagonal/>
    </border>
    <border>
      <left/>
      <right style="hair">
        <color rgb="FFC00000"/>
      </right>
      <top/>
      <bottom style="hair">
        <color rgb="FFC00000"/>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s>
  <cellStyleXfs count="5">
    <xf numFmtId="0" fontId="0" fillId="0" borderId="0"/>
    <xf numFmtId="43" fontId="1" fillId="0" borderId="0" applyFont="0" applyFill="0" applyBorder="0" applyAlignment="0" applyProtection="0"/>
    <xf numFmtId="0" fontId="11" fillId="0" borderId="0" applyNumberFormat="0" applyFill="0" applyBorder="0" applyAlignment="0" applyProtection="0"/>
    <xf numFmtId="9" fontId="1" fillId="0" borderId="0" applyFont="0" applyFill="0" applyBorder="0" applyAlignment="0" applyProtection="0"/>
    <xf numFmtId="0" fontId="73" fillId="0" borderId="0"/>
  </cellStyleXfs>
  <cellXfs count="802">
    <xf numFmtId="0" fontId="0" fillId="0" borderId="0" xfId="0"/>
    <xf numFmtId="0" fontId="0" fillId="2" borderId="1" xfId="0" applyFill="1" applyBorder="1"/>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3" borderId="1" xfId="0" applyFill="1" applyBorder="1"/>
    <xf numFmtId="0" fontId="6" fillId="3" borderId="2" xfId="0" applyFont="1" applyFill="1" applyBorder="1" applyAlignment="1"/>
    <xf numFmtId="0" fontId="6" fillId="3" borderId="3" xfId="0" applyFont="1" applyFill="1" applyBorder="1" applyAlignment="1"/>
    <xf numFmtId="0" fontId="0" fillId="2" borderId="0" xfId="0" applyFill="1" applyBorder="1" applyAlignment="1">
      <alignment horizontal="left" indent="1"/>
    </xf>
    <xf numFmtId="0" fontId="2" fillId="2" borderId="4" xfId="0" applyFont="1" applyFill="1" applyBorder="1" applyAlignment="1">
      <alignment horizontal="right" vertical="center"/>
    </xf>
    <xf numFmtId="0" fontId="8" fillId="2" borderId="9" xfId="0" applyFont="1" applyFill="1" applyBorder="1" applyAlignment="1">
      <alignment horizontal="left" indent="5"/>
    </xf>
    <xf numFmtId="0" fontId="0" fillId="2" borderId="9" xfId="0" applyFill="1" applyBorder="1"/>
    <xf numFmtId="0" fontId="9" fillId="2" borderId="9" xfId="0" applyFont="1" applyFill="1" applyBorder="1"/>
    <xf numFmtId="37" fontId="10" fillId="3" borderId="10" xfId="1" applyNumberFormat="1" applyFont="1" applyFill="1" applyBorder="1" applyAlignment="1" applyProtection="1">
      <alignment horizontal="center"/>
      <protection locked="0"/>
    </xf>
    <xf numFmtId="0" fontId="8" fillId="2" borderId="0" xfId="0" applyFont="1" applyFill="1" applyBorder="1" applyAlignment="1">
      <alignment horizontal="left" indent="5"/>
    </xf>
    <xf numFmtId="0" fontId="10" fillId="2" borderId="0" xfId="0" applyFont="1" applyFill="1" applyBorder="1" applyAlignment="1">
      <alignment horizontal="left" indent="1"/>
    </xf>
    <xf numFmtId="0" fontId="10" fillId="3" borderId="10" xfId="0" applyFont="1" applyFill="1" applyBorder="1" applyAlignment="1" applyProtection="1">
      <alignment horizontal="center"/>
      <protection locked="0"/>
    </xf>
    <xf numFmtId="0" fontId="0" fillId="2" borderId="7" xfId="0" applyFill="1" applyBorder="1" applyAlignment="1">
      <alignment horizontal="left" indent="3"/>
    </xf>
    <xf numFmtId="0" fontId="0" fillId="2" borderId="7" xfId="0" applyFill="1" applyBorder="1" applyAlignment="1">
      <alignment horizontal="left" indent="2"/>
    </xf>
    <xf numFmtId="0" fontId="10" fillId="2" borderId="7" xfId="0" applyFont="1" applyFill="1" applyBorder="1" applyAlignment="1">
      <alignment horizontal="left" indent="1"/>
    </xf>
    <xf numFmtId="0" fontId="11" fillId="3" borderId="3" xfId="2" applyFill="1" applyBorder="1" applyAlignment="1" applyProtection="1">
      <alignment horizontal="center" vertical="center"/>
    </xf>
    <xf numFmtId="0" fontId="0" fillId="2" borderId="0" xfId="0" applyFill="1" applyBorder="1" applyAlignment="1">
      <alignment horizontal="left" indent="3"/>
    </xf>
    <xf numFmtId="0" fontId="0" fillId="2" borderId="0" xfId="0" applyFill="1" applyBorder="1" applyAlignment="1">
      <alignment horizontal="left" indent="2"/>
    </xf>
    <xf numFmtId="0" fontId="2" fillId="2" borderId="4" xfId="0" applyFont="1" applyFill="1" applyBorder="1" applyAlignment="1">
      <alignment horizontal="right"/>
    </xf>
    <xf numFmtId="0" fontId="13" fillId="2" borderId="0" xfId="0" applyFont="1" applyFill="1" applyBorder="1" applyAlignment="1">
      <alignment horizontal="left" indent="5"/>
    </xf>
    <xf numFmtId="0" fontId="14" fillId="2" borderId="0" xfId="0" applyFont="1" applyFill="1" applyBorder="1" applyAlignment="1">
      <alignment horizontal="right"/>
    </xf>
    <xf numFmtId="0" fontId="10" fillId="3" borderId="11" xfId="0" applyFont="1" applyFill="1" applyBorder="1" applyAlignment="1" applyProtection="1">
      <alignment horizontal="center"/>
      <protection locked="0"/>
    </xf>
    <xf numFmtId="39" fontId="10" fillId="3" borderId="11" xfId="1" applyNumberFormat="1" applyFont="1" applyFill="1" applyBorder="1" applyAlignment="1" applyProtection="1">
      <alignment horizontal="center"/>
      <protection locked="0"/>
    </xf>
    <xf numFmtId="0" fontId="17" fillId="2" borderId="0" xfId="0" applyFont="1" applyFill="1" applyBorder="1" applyAlignment="1"/>
    <xf numFmtId="0" fontId="17" fillId="2" borderId="0" xfId="0" applyFont="1" applyFill="1" applyBorder="1" applyAlignment="1">
      <alignment horizontal="left"/>
    </xf>
    <xf numFmtId="0" fontId="0" fillId="2" borderId="7" xfId="0" applyFill="1" applyBorder="1" applyAlignment="1">
      <alignment horizontal="left" indent="1"/>
    </xf>
    <xf numFmtId="0" fontId="0" fillId="2" borderId="2" xfId="0" applyFill="1" applyBorder="1"/>
    <xf numFmtId="0" fontId="10" fillId="2" borderId="2" xfId="0" applyFont="1" applyFill="1" applyBorder="1" applyAlignment="1">
      <alignment horizontal="left" indent="1"/>
    </xf>
    <xf numFmtId="0" fontId="0" fillId="0" borderId="0" xfId="0" applyAlignment="1">
      <alignment horizontal="center"/>
    </xf>
    <xf numFmtId="0" fontId="0" fillId="2" borderId="0" xfId="0" applyFill="1"/>
    <xf numFmtId="0" fontId="0" fillId="2" borderId="0" xfId="0" applyFill="1" applyAlignment="1">
      <alignment horizontal="center"/>
    </xf>
    <xf numFmtId="0" fontId="10" fillId="2" borderId="9" xfId="0" applyFont="1" applyFill="1" applyBorder="1" applyAlignment="1">
      <alignment horizontal="left" indent="1"/>
    </xf>
    <xf numFmtId="0" fontId="26" fillId="2" borderId="5" xfId="0" applyFont="1" applyFill="1" applyBorder="1"/>
    <xf numFmtId="0" fontId="27" fillId="2" borderId="9" xfId="0" applyFont="1" applyFill="1" applyBorder="1" applyAlignment="1">
      <alignment horizontal="right"/>
    </xf>
    <xf numFmtId="0" fontId="0" fillId="0" borderId="0" xfId="0" applyAlignment="1">
      <alignment vertical="center"/>
    </xf>
    <xf numFmtId="0" fontId="26" fillId="0" borderId="0" xfId="0" applyFont="1" applyAlignment="1"/>
    <xf numFmtId="0" fontId="26" fillId="0" borderId="0" xfId="0" applyFont="1" applyAlignment="1">
      <alignment wrapText="1"/>
    </xf>
    <xf numFmtId="0" fontId="26" fillId="5" borderId="0" xfId="0" applyFont="1" applyFill="1" applyAlignment="1">
      <alignment wrapText="1"/>
    </xf>
    <xf numFmtId="0" fontId="30" fillId="2" borderId="31" xfId="0" applyFont="1" applyFill="1" applyBorder="1" applyAlignment="1">
      <alignment vertical="center"/>
    </xf>
    <xf numFmtId="0" fontId="30" fillId="2" borderId="32" xfId="0" applyFont="1" applyFill="1" applyBorder="1" applyAlignment="1">
      <alignment horizontal="center" vertical="center"/>
    </xf>
    <xf numFmtId="0" fontId="30" fillId="2" borderId="33" xfId="0" applyFont="1" applyFill="1" applyBorder="1" applyAlignment="1">
      <alignment horizontal="center" vertical="center"/>
    </xf>
    <xf numFmtId="0" fontId="30" fillId="6" borderId="26" xfId="0" applyFont="1" applyFill="1" applyBorder="1" applyAlignment="1">
      <alignment vertical="center"/>
    </xf>
    <xf numFmtId="0" fontId="30" fillId="6" borderId="25" xfId="0" applyFont="1" applyFill="1" applyBorder="1" applyAlignment="1">
      <alignment horizontal="center" vertical="center"/>
    </xf>
    <xf numFmtId="0" fontId="30" fillId="6" borderId="27" xfId="0" applyFont="1" applyFill="1" applyBorder="1" applyAlignment="1">
      <alignment horizontal="center" vertical="center"/>
    </xf>
    <xf numFmtId="0" fontId="30" fillId="2" borderId="26" xfId="0" applyFont="1" applyFill="1" applyBorder="1" applyAlignment="1">
      <alignment vertical="center"/>
    </xf>
    <xf numFmtId="0" fontId="30" fillId="2" borderId="25" xfId="0" applyFont="1" applyFill="1" applyBorder="1" applyAlignment="1">
      <alignment horizontal="center" vertical="center"/>
    </xf>
    <xf numFmtId="0" fontId="30" fillId="2" borderId="27" xfId="0" applyFont="1" applyFill="1" applyBorder="1" applyAlignment="1">
      <alignment horizontal="center" vertical="center"/>
    </xf>
    <xf numFmtId="0" fontId="12" fillId="5" borderId="43" xfId="0" quotePrefix="1" applyFont="1" applyFill="1" applyBorder="1" applyAlignment="1">
      <alignment horizontal="center" textRotation="90"/>
    </xf>
    <xf numFmtId="0" fontId="12" fillId="5" borderId="44" xfId="0" quotePrefix="1" applyFont="1" applyFill="1" applyBorder="1" applyAlignment="1">
      <alignment horizontal="center" textRotation="90"/>
    </xf>
    <xf numFmtId="0" fontId="12" fillId="3" borderId="43" xfId="0" quotePrefix="1" applyFont="1" applyFill="1" applyBorder="1" applyAlignment="1">
      <alignment horizontal="center" textRotation="90"/>
    </xf>
    <xf numFmtId="0" fontId="30" fillId="6" borderId="45" xfId="0" applyFont="1" applyFill="1" applyBorder="1" applyAlignment="1">
      <alignment vertical="center"/>
    </xf>
    <xf numFmtId="0" fontId="30" fillId="6" borderId="46" xfId="0" applyFont="1" applyFill="1" applyBorder="1" applyAlignment="1">
      <alignment horizontal="center" vertical="center"/>
    </xf>
    <xf numFmtId="0" fontId="30" fillId="6" borderId="47" xfId="0" applyFont="1" applyFill="1" applyBorder="1" applyAlignment="1">
      <alignment horizontal="center" vertical="center"/>
    </xf>
    <xf numFmtId="0" fontId="8" fillId="5" borderId="48" xfId="0" applyFont="1" applyFill="1" applyBorder="1" applyAlignment="1">
      <alignment horizontal="center" wrapText="1"/>
    </xf>
    <xf numFmtId="0" fontId="12" fillId="5" borderId="49" xfId="0" applyFont="1" applyFill="1" applyBorder="1" applyAlignment="1">
      <alignment horizontal="center" vertical="top" textRotation="90"/>
    </xf>
    <xf numFmtId="0" fontId="12" fillId="5" borderId="50" xfId="0" applyFont="1" applyFill="1" applyBorder="1" applyAlignment="1">
      <alignment horizontal="center" vertical="top" textRotation="90"/>
    </xf>
    <xf numFmtId="0" fontId="12" fillId="3" borderId="49" xfId="0" applyFont="1" applyFill="1" applyBorder="1" applyAlignment="1">
      <alignment horizontal="center" vertical="top" textRotation="90"/>
    </xf>
    <xf numFmtId="0" fontId="12" fillId="3" borderId="44" xfId="0" quotePrefix="1" applyFont="1" applyFill="1" applyBorder="1" applyAlignment="1">
      <alignment horizontal="center" textRotation="90"/>
    </xf>
    <xf numFmtId="0" fontId="12" fillId="3" borderId="50" xfId="0" applyFont="1" applyFill="1" applyBorder="1" applyAlignment="1">
      <alignment horizontal="center" vertical="top" textRotation="90"/>
    </xf>
    <xf numFmtId="0" fontId="32" fillId="2" borderId="32" xfId="0" applyFont="1" applyFill="1" applyBorder="1" applyAlignment="1">
      <alignment horizontal="center" vertical="center"/>
    </xf>
    <xf numFmtId="0" fontId="32" fillId="6" borderId="25" xfId="0" applyFont="1" applyFill="1" applyBorder="1" applyAlignment="1">
      <alignment horizontal="center" vertical="center"/>
    </xf>
    <xf numFmtId="0" fontId="32" fillId="2" borderId="25" xfId="0" applyFont="1" applyFill="1" applyBorder="1" applyAlignment="1">
      <alignment horizontal="center" vertical="center"/>
    </xf>
    <xf numFmtId="0" fontId="32" fillId="6" borderId="46" xfId="0" applyFont="1" applyFill="1" applyBorder="1" applyAlignment="1">
      <alignment horizontal="center" vertical="center"/>
    </xf>
    <xf numFmtId="0" fontId="32" fillId="2" borderId="33" xfId="0" applyFont="1" applyFill="1" applyBorder="1" applyAlignment="1">
      <alignment horizontal="center" vertical="center"/>
    </xf>
    <xf numFmtId="0" fontId="32" fillId="6" borderId="27" xfId="0" applyFont="1" applyFill="1" applyBorder="1" applyAlignment="1">
      <alignment horizontal="center" vertical="center"/>
    </xf>
    <xf numFmtId="0" fontId="32" fillId="2" borderId="27" xfId="0" applyFont="1" applyFill="1" applyBorder="1" applyAlignment="1">
      <alignment horizontal="center" vertical="center"/>
    </xf>
    <xf numFmtId="0" fontId="32" fillId="6" borderId="47" xfId="0" applyFont="1" applyFill="1" applyBorder="1" applyAlignment="1">
      <alignment horizontal="center" vertical="center"/>
    </xf>
    <xf numFmtId="0" fontId="18" fillId="2" borderId="0" xfId="0" applyFont="1" applyFill="1" applyBorder="1" applyAlignment="1">
      <alignment vertical="center"/>
    </xf>
    <xf numFmtId="0" fontId="0" fillId="0" borderId="0" xfId="0" applyFill="1" applyBorder="1"/>
    <xf numFmtId="0" fontId="0" fillId="0" borderId="5" xfId="0" applyFill="1" applyBorder="1"/>
    <xf numFmtId="0" fontId="0" fillId="0" borderId="7" xfId="0" applyFill="1" applyBorder="1"/>
    <xf numFmtId="0" fontId="0" fillId="0" borderId="8" xfId="0" applyFill="1" applyBorder="1"/>
    <xf numFmtId="0" fontId="18" fillId="2" borderId="4" xfId="0" applyFont="1" applyFill="1" applyBorder="1" applyAlignment="1">
      <alignment vertical="center"/>
    </xf>
    <xf numFmtId="0" fontId="0" fillId="2" borderId="52" xfId="0" applyFill="1" applyBorder="1"/>
    <xf numFmtId="0" fontId="0" fillId="2" borderId="53" xfId="0" applyFill="1" applyBorder="1"/>
    <xf numFmtId="0" fontId="18" fillId="2" borderId="54" xfId="0" applyFont="1" applyFill="1" applyBorder="1" applyAlignment="1">
      <alignment vertical="center"/>
    </xf>
    <xf numFmtId="0" fontId="17" fillId="2" borderId="4" xfId="0" applyFont="1" applyFill="1" applyBorder="1" applyAlignment="1">
      <alignment horizontal="right"/>
    </xf>
    <xf numFmtId="0" fontId="0" fillId="2" borderId="55" xfId="0" applyFill="1" applyBorder="1"/>
    <xf numFmtId="0" fontId="0" fillId="2" borderId="57" xfId="0" applyFill="1" applyBorder="1"/>
    <xf numFmtId="0" fontId="34" fillId="2" borderId="4" xfId="0" applyFont="1" applyFill="1" applyBorder="1" applyAlignment="1">
      <alignment horizontal="right"/>
    </xf>
    <xf numFmtId="0" fontId="19" fillId="6" borderId="12" xfId="0" applyFont="1" applyFill="1" applyBorder="1" applyAlignment="1" applyProtection="1">
      <alignment horizontal="center" vertical="center"/>
      <protection locked="0"/>
    </xf>
    <xf numFmtId="0" fontId="0" fillId="7" borderId="0" xfId="0" applyFill="1"/>
    <xf numFmtId="0" fontId="13" fillId="2" borderId="5" xfId="0" applyFont="1" applyFill="1" applyBorder="1"/>
    <xf numFmtId="0" fontId="35" fillId="2" borderId="9" xfId="0" applyFont="1" applyFill="1" applyBorder="1" applyAlignment="1">
      <alignment horizontal="right"/>
    </xf>
    <xf numFmtId="0" fontId="0" fillId="2" borderId="17" xfId="0" applyFill="1" applyBorder="1" applyAlignment="1">
      <alignment horizontal="center"/>
    </xf>
    <xf numFmtId="0" fontId="0" fillId="7" borderId="0" xfId="0" applyFill="1" applyAlignment="1">
      <alignment horizontal="center"/>
    </xf>
    <xf numFmtId="0" fontId="13" fillId="5" borderId="42" xfId="0" applyFont="1" applyFill="1" applyBorder="1" applyAlignment="1">
      <alignment horizontal="center" wrapText="1"/>
    </xf>
    <xf numFmtId="0" fontId="32" fillId="5" borderId="43" xfId="0" quotePrefix="1" applyFont="1" applyFill="1" applyBorder="1" applyAlignment="1">
      <alignment horizontal="center" textRotation="90"/>
    </xf>
    <xf numFmtId="0" fontId="32" fillId="5" borderId="44" xfId="0" quotePrefix="1" applyFont="1" applyFill="1" applyBorder="1" applyAlignment="1">
      <alignment horizontal="center" textRotation="90"/>
    </xf>
    <xf numFmtId="0" fontId="32" fillId="5" borderId="50" xfId="0" applyFont="1" applyFill="1" applyBorder="1" applyAlignment="1">
      <alignment horizontal="center" vertical="top" textRotation="90"/>
    </xf>
    <xf numFmtId="0" fontId="32" fillId="5" borderId="49" xfId="0" applyFont="1" applyFill="1" applyBorder="1" applyAlignment="1">
      <alignment horizontal="center" vertical="top" textRotation="90"/>
    </xf>
    <xf numFmtId="0" fontId="8" fillId="2" borderId="0" xfId="0" applyFont="1" applyFill="1" applyBorder="1" applyAlignment="1">
      <alignment horizontal="left" indent="4"/>
    </xf>
    <xf numFmtId="0" fontId="35" fillId="2" borderId="0" xfId="0" applyFont="1" applyFill="1" applyBorder="1" applyAlignment="1">
      <alignment horizontal="right"/>
    </xf>
    <xf numFmtId="0" fontId="32" fillId="2" borderId="24" xfId="0" applyFont="1" applyFill="1" applyBorder="1" applyAlignment="1">
      <alignment horizontal="center"/>
    </xf>
    <xf numFmtId="0" fontId="32" fillId="2" borderId="56" xfId="0" applyFont="1" applyFill="1" applyBorder="1" applyAlignment="1">
      <alignment horizontal="center"/>
    </xf>
    <xf numFmtId="0" fontId="0" fillId="0" borderId="0" xfId="0" applyFill="1" applyBorder="1" applyAlignment="1">
      <alignment horizontal="center" vertical="center"/>
    </xf>
    <xf numFmtId="0" fontId="0" fillId="0" borderId="0" xfId="0" applyFill="1"/>
    <xf numFmtId="0" fontId="0" fillId="0" borderId="0" xfId="0" applyAlignment="1">
      <alignment horizontal="center" vertical="center"/>
    </xf>
    <xf numFmtId="0" fontId="30" fillId="7" borderId="8" xfId="0" applyFont="1" applyFill="1" applyBorder="1" applyAlignment="1">
      <alignment horizontal="left" vertical="center"/>
    </xf>
    <xf numFmtId="0" fontId="30" fillId="7" borderId="7" xfId="0" applyFont="1" applyFill="1" applyBorder="1" applyAlignment="1">
      <alignment horizontal="left" vertical="center"/>
    </xf>
    <xf numFmtId="0" fontId="30" fillId="7" borderId="6" xfId="0" applyFont="1" applyFill="1" applyBorder="1" applyAlignment="1">
      <alignment horizontal="left" vertical="center"/>
    </xf>
    <xf numFmtId="0" fontId="40" fillId="0" borderId="0" xfId="0" applyFont="1" applyAlignment="1">
      <alignment vertical="center"/>
    </xf>
    <xf numFmtId="0" fontId="0" fillId="2" borderId="14" xfId="0" applyFill="1" applyBorder="1" applyAlignment="1">
      <alignment horizontal="center"/>
    </xf>
    <xf numFmtId="0" fontId="41" fillId="2" borderId="67" xfId="0" applyNumberFormat="1" applyFont="1" applyFill="1" applyBorder="1" applyAlignment="1" applyProtection="1">
      <alignment horizontal="center" vertical="center"/>
      <protection hidden="1"/>
    </xf>
    <xf numFmtId="0" fontId="41" fillId="2" borderId="22" xfId="0" applyNumberFormat="1" applyFont="1" applyFill="1" applyBorder="1" applyAlignment="1" applyProtection="1">
      <alignment horizontal="center" vertical="center"/>
      <protection hidden="1"/>
    </xf>
    <xf numFmtId="0" fontId="41" fillId="2" borderId="68" xfId="0" applyNumberFormat="1" applyFont="1" applyFill="1" applyBorder="1" applyAlignment="1" applyProtection="1">
      <alignment horizontal="center" vertical="center"/>
      <protection hidden="1"/>
    </xf>
    <xf numFmtId="0" fontId="42" fillId="2" borderId="65" xfId="0" applyFont="1" applyFill="1" applyBorder="1" applyAlignment="1">
      <alignment horizontal="center" vertical="center"/>
    </xf>
    <xf numFmtId="0" fontId="43" fillId="14" borderId="69" xfId="0" applyFont="1" applyFill="1" applyBorder="1" applyAlignment="1" applyProtection="1">
      <alignment horizontal="center" vertical="center"/>
      <protection locked="0"/>
    </xf>
    <xf numFmtId="0" fontId="42" fillId="2" borderId="66" xfId="0" applyFont="1" applyFill="1" applyBorder="1" applyAlignment="1">
      <alignment horizontal="center" vertical="center"/>
    </xf>
    <xf numFmtId="0" fontId="44" fillId="15" borderId="70" xfId="0" applyFont="1" applyFill="1" applyBorder="1" applyAlignment="1" applyProtection="1">
      <alignment horizontal="center" vertical="center" wrapText="1"/>
      <protection hidden="1"/>
    </xf>
    <xf numFmtId="0" fontId="44" fillId="15" borderId="71" xfId="0" applyFont="1" applyFill="1" applyBorder="1" applyAlignment="1" applyProtection="1">
      <alignment horizontal="center" vertical="center" wrapText="1"/>
      <protection hidden="1"/>
    </xf>
    <xf numFmtId="0" fontId="44" fillId="15" borderId="72" xfId="0" applyFont="1" applyFill="1" applyBorder="1" applyAlignment="1" applyProtection="1">
      <alignment horizontal="center" vertical="center" wrapText="1"/>
      <protection hidden="1"/>
    </xf>
    <xf numFmtId="0" fontId="41" fillId="2" borderId="73" xfId="0" applyNumberFormat="1" applyFont="1" applyFill="1" applyBorder="1" applyAlignment="1" applyProtection="1">
      <alignment horizontal="center" vertical="center"/>
      <protection hidden="1"/>
    </xf>
    <xf numFmtId="0" fontId="41" fillId="2" borderId="20" xfId="0" applyNumberFormat="1" applyFont="1" applyFill="1" applyBorder="1" applyAlignment="1" applyProtection="1">
      <alignment horizontal="center" vertical="center"/>
      <protection hidden="1"/>
    </xf>
    <xf numFmtId="0" fontId="41" fillId="2" borderId="74" xfId="0" applyNumberFormat="1" applyFont="1" applyFill="1" applyBorder="1" applyAlignment="1" applyProtection="1">
      <alignment horizontal="center" vertical="center"/>
      <protection hidden="1"/>
    </xf>
    <xf numFmtId="0" fontId="46" fillId="2" borderId="65" xfId="0" applyFont="1" applyFill="1" applyBorder="1" applyAlignment="1">
      <alignment horizontal="center" vertical="center"/>
    </xf>
    <xf numFmtId="0" fontId="43" fillId="14" borderId="75" xfId="0" applyFont="1" applyFill="1" applyBorder="1" applyAlignment="1" applyProtection="1">
      <alignment horizontal="center" vertical="center"/>
      <protection locked="0"/>
    </xf>
    <xf numFmtId="0" fontId="46" fillId="2" borderId="66" xfId="0" applyFont="1" applyFill="1" applyBorder="1" applyAlignment="1">
      <alignment horizontal="center" vertical="center"/>
    </xf>
    <xf numFmtId="0" fontId="41" fillId="2" borderId="76" xfId="0" applyNumberFormat="1" applyFont="1" applyFill="1" applyBorder="1" applyAlignment="1" applyProtection="1">
      <alignment horizontal="center" vertical="center"/>
      <protection hidden="1"/>
    </xf>
    <xf numFmtId="0" fontId="41" fillId="2" borderId="14" xfId="0" applyNumberFormat="1" applyFont="1" applyFill="1" applyBorder="1" applyAlignment="1" applyProtection="1">
      <alignment horizontal="center" vertical="center"/>
      <protection hidden="1"/>
    </xf>
    <xf numFmtId="0" fontId="41" fillId="2" borderId="77" xfId="0" applyNumberFormat="1" applyFont="1" applyFill="1" applyBorder="1" applyAlignment="1" applyProtection="1">
      <alignment horizontal="center" vertical="center"/>
      <protection hidden="1"/>
    </xf>
    <xf numFmtId="0" fontId="42" fillId="2" borderId="78" xfId="0" applyFont="1" applyFill="1" applyBorder="1" applyAlignment="1">
      <alignment horizontal="center" vertical="center"/>
    </xf>
    <xf numFmtId="0" fontId="42" fillId="2" borderId="79" xfId="0" applyFont="1" applyFill="1" applyBorder="1" applyAlignment="1">
      <alignment horizontal="center" vertical="center"/>
    </xf>
    <xf numFmtId="0" fontId="48" fillId="0" borderId="0" xfId="0" applyFont="1" applyFill="1" applyBorder="1" applyAlignment="1">
      <alignment horizontal="center" vertical="center"/>
    </xf>
    <xf numFmtId="0" fontId="49" fillId="0" borderId="0" xfId="0" applyFont="1" applyFill="1" applyBorder="1" applyAlignment="1">
      <alignment horizontal="center" vertical="center"/>
    </xf>
    <xf numFmtId="0" fontId="42" fillId="2" borderId="80" xfId="0" applyFont="1" applyFill="1" applyBorder="1" applyAlignment="1">
      <alignment vertical="center"/>
    </xf>
    <xf numFmtId="0" fontId="52" fillId="0" borderId="0" xfId="0" applyFont="1" applyAlignment="1">
      <alignment horizontal="center" vertical="center"/>
    </xf>
    <xf numFmtId="0" fontId="53" fillId="0" borderId="0" xfId="0" applyFont="1" applyAlignment="1">
      <alignment horizontal="center" vertical="center"/>
    </xf>
    <xf numFmtId="0" fontId="3" fillId="5" borderId="62" xfId="0" applyFont="1" applyFill="1" applyBorder="1" applyAlignment="1">
      <alignment horizontal="center" vertical="center"/>
    </xf>
    <xf numFmtId="0" fontId="6" fillId="5" borderId="63" xfId="0" applyFont="1" applyFill="1" applyBorder="1" applyAlignment="1">
      <alignment horizontal="center" vertical="center"/>
    </xf>
    <xf numFmtId="0" fontId="6" fillId="5" borderId="86" xfId="0" applyFont="1" applyFill="1" applyBorder="1" applyAlignment="1">
      <alignment horizontal="center" vertical="center"/>
    </xf>
    <xf numFmtId="0" fontId="3" fillId="5" borderId="86" xfId="0" applyFont="1" applyFill="1" applyBorder="1" applyAlignment="1">
      <alignment horizontal="center" vertical="center" wrapText="1"/>
    </xf>
    <xf numFmtId="0" fontId="3" fillId="5" borderId="63" xfId="0" applyFont="1" applyFill="1" applyBorder="1" applyAlignment="1">
      <alignment horizontal="center" vertical="center" wrapText="1"/>
    </xf>
    <xf numFmtId="0" fontId="3" fillId="5" borderId="64"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wrapText="1"/>
    </xf>
    <xf numFmtId="0" fontId="0" fillId="3" borderId="1" xfId="0" applyFill="1" applyBorder="1" applyAlignment="1">
      <alignment vertical="center"/>
    </xf>
    <xf numFmtId="0" fontId="13" fillId="2" borderId="88" xfId="0" applyFont="1" applyFill="1" applyBorder="1" applyAlignment="1">
      <alignment horizontal="left" vertical="center" indent="1"/>
    </xf>
    <xf numFmtId="0" fontId="13" fillId="2" borderId="88" xfId="0" applyFont="1" applyFill="1" applyBorder="1" applyAlignment="1">
      <alignment horizontal="center" vertical="center"/>
    </xf>
    <xf numFmtId="0" fontId="13" fillId="2" borderId="2" xfId="0" applyFont="1" applyFill="1" applyBorder="1" applyAlignment="1">
      <alignment horizontal="center" vertical="center"/>
    </xf>
    <xf numFmtId="0" fontId="0" fillId="2" borderId="3" xfId="0" applyFill="1" applyBorder="1" applyAlignment="1">
      <alignment vertical="center"/>
    </xf>
    <xf numFmtId="0" fontId="0" fillId="3" borderId="4" xfId="0" applyFill="1" applyBorder="1" applyAlignment="1">
      <alignment vertical="center"/>
    </xf>
    <xf numFmtId="0" fontId="13" fillId="2" borderId="21" xfId="0" applyFont="1" applyFill="1" applyBorder="1" applyAlignment="1">
      <alignment horizontal="left" vertical="center" indent="1"/>
    </xf>
    <xf numFmtId="0" fontId="13" fillId="2" borderId="21" xfId="0" applyFont="1" applyFill="1" applyBorder="1" applyAlignment="1">
      <alignment horizontal="center" vertical="center"/>
    </xf>
    <xf numFmtId="0" fontId="13" fillId="2" borderId="0" xfId="0" applyFont="1" applyFill="1" applyBorder="1" applyAlignment="1">
      <alignment horizontal="center" vertical="center"/>
    </xf>
    <xf numFmtId="0" fontId="0" fillId="2" borderId="5" xfId="0" applyFill="1" applyBorder="1" applyAlignment="1">
      <alignment vertical="center"/>
    </xf>
    <xf numFmtId="0" fontId="0" fillId="3" borderId="6" xfId="0" applyFill="1" applyBorder="1" applyAlignment="1">
      <alignment vertical="center"/>
    </xf>
    <xf numFmtId="0" fontId="13" fillId="2" borderId="90" xfId="0" applyFont="1" applyFill="1" applyBorder="1" applyAlignment="1">
      <alignment horizontal="left" vertical="center" indent="1"/>
    </xf>
    <xf numFmtId="0" fontId="13" fillId="2" borderId="90" xfId="0" applyFont="1" applyFill="1" applyBorder="1" applyAlignment="1">
      <alignment horizontal="center" vertical="center"/>
    </xf>
    <xf numFmtId="0" fontId="13" fillId="2" borderId="7" xfId="0" applyFont="1" applyFill="1" applyBorder="1" applyAlignment="1">
      <alignment horizontal="center" vertical="center"/>
    </xf>
    <xf numFmtId="0" fontId="0" fillId="2" borderId="8" xfId="0" applyFill="1" applyBorder="1" applyAlignment="1">
      <alignment vertical="center"/>
    </xf>
    <xf numFmtId="0" fontId="3" fillId="0" borderId="0" xfId="0" applyFont="1" applyFill="1" applyBorder="1" applyAlignment="1">
      <alignment horizontal="center" vertical="center"/>
    </xf>
    <xf numFmtId="0" fontId="8" fillId="0" borderId="0" xfId="0" applyFont="1" applyFill="1" applyBorder="1" applyAlignment="1">
      <alignment horizontal="left" vertical="center" indent="1"/>
    </xf>
    <xf numFmtId="0" fontId="8" fillId="0" borderId="0" xfId="0" applyFont="1" applyFill="1" applyBorder="1" applyAlignment="1">
      <alignment horizontal="center" vertical="center" wrapText="1"/>
    </xf>
    <xf numFmtId="1" fontId="13" fillId="2" borderId="21" xfId="0" applyNumberFormat="1" applyFont="1" applyFill="1" applyBorder="1" applyAlignment="1">
      <alignment horizontal="center" vertical="center"/>
    </xf>
    <xf numFmtId="164" fontId="13" fillId="2" borderId="90" xfId="0" applyNumberFormat="1" applyFont="1" applyFill="1" applyBorder="1" applyAlignment="1">
      <alignment horizontal="center" vertical="center"/>
    </xf>
    <xf numFmtId="164" fontId="13" fillId="2" borderId="7" xfId="0" applyNumberFormat="1" applyFont="1" applyFill="1" applyBorder="1" applyAlignment="1">
      <alignment horizontal="center" vertical="center"/>
    </xf>
    <xf numFmtId="0" fontId="55" fillId="2" borderId="2" xfId="0" applyFont="1" applyFill="1" applyBorder="1" applyAlignment="1">
      <alignment horizontal="center" vertical="center"/>
    </xf>
    <xf numFmtId="0" fontId="55" fillId="2" borderId="0" xfId="0" applyFont="1" applyFill="1" applyBorder="1" applyAlignment="1">
      <alignment horizontal="center" vertical="center"/>
    </xf>
    <xf numFmtId="0" fontId="55" fillId="2" borderId="90" xfId="0" applyFont="1" applyFill="1" applyBorder="1" applyAlignment="1">
      <alignment horizontal="center" vertical="center"/>
    </xf>
    <xf numFmtId="0" fontId="55" fillId="2" borderId="88" xfId="0" applyFont="1" applyFill="1" applyBorder="1" applyAlignment="1">
      <alignment horizontal="center" vertical="center"/>
    </xf>
    <xf numFmtId="0" fontId="55" fillId="2" borderId="21" xfId="0" applyFont="1" applyFill="1" applyBorder="1" applyAlignment="1">
      <alignment horizontal="center" vertical="center"/>
    </xf>
    <xf numFmtId="0" fontId="3" fillId="0" borderId="0" xfId="0" applyFont="1" applyFill="1" applyBorder="1" applyAlignment="1">
      <alignment vertical="center"/>
    </xf>
    <xf numFmtId="0" fontId="0" fillId="0" borderId="0" xfId="0" applyFill="1" applyBorder="1" applyAlignment="1">
      <alignment vertical="center"/>
    </xf>
    <xf numFmtId="0" fontId="0" fillId="0" borderId="0" xfId="0" applyFill="1" applyAlignment="1">
      <alignment vertical="center"/>
    </xf>
    <xf numFmtId="0" fontId="3" fillId="0" borderId="0" xfId="0" applyFont="1" applyAlignment="1">
      <alignment vertical="center"/>
    </xf>
    <xf numFmtId="0" fontId="0" fillId="0" borderId="0" xfId="0" applyFont="1" applyAlignment="1">
      <alignment vertical="center"/>
    </xf>
    <xf numFmtId="0" fontId="57" fillId="0" borderId="0" xfId="0" applyFont="1" applyFill="1" applyBorder="1" applyAlignment="1">
      <alignment horizontal="center" vertical="center"/>
    </xf>
    <xf numFmtId="0" fontId="57" fillId="0" borderId="0" xfId="0" applyFont="1" applyFill="1" applyBorder="1" applyAlignment="1">
      <alignment horizontal="left" vertical="center"/>
    </xf>
    <xf numFmtId="0" fontId="58" fillId="0" borderId="0" xfId="0" applyFont="1" applyFill="1" applyBorder="1" applyAlignment="1">
      <alignment vertical="center"/>
    </xf>
    <xf numFmtId="0" fontId="57" fillId="0" borderId="0" xfId="0" applyFont="1" applyFill="1" applyBorder="1" applyAlignment="1">
      <alignment vertical="center"/>
    </xf>
    <xf numFmtId="0" fontId="59" fillId="2" borderId="4" xfId="0" applyFont="1" applyFill="1" applyBorder="1" applyAlignment="1">
      <alignment horizontal="left" vertical="center" indent="4"/>
    </xf>
    <xf numFmtId="0" fontId="59" fillId="2" borderId="0" xfId="0" applyFont="1" applyFill="1" applyBorder="1" applyAlignment="1">
      <alignment horizontal="center" vertical="center"/>
    </xf>
    <xf numFmtId="0" fontId="59" fillId="2" borderId="5" xfId="0" applyFont="1" applyFill="1" applyBorder="1" applyAlignment="1">
      <alignment horizontal="center" vertical="center"/>
    </xf>
    <xf numFmtId="0" fontId="57" fillId="2" borderId="4" xfId="0" applyFont="1" applyFill="1" applyBorder="1" applyAlignment="1">
      <alignment horizontal="left" vertical="center" indent="2"/>
    </xf>
    <xf numFmtId="9" fontId="57" fillId="2" borderId="0" xfId="0" applyNumberFormat="1" applyFont="1" applyFill="1" applyBorder="1" applyAlignment="1">
      <alignment horizontal="center" vertical="center"/>
    </xf>
    <xf numFmtId="9" fontId="57" fillId="2" borderId="5" xfId="0" applyNumberFormat="1" applyFont="1" applyFill="1" applyBorder="1" applyAlignment="1">
      <alignment horizontal="center" vertical="center"/>
    </xf>
    <xf numFmtId="165" fontId="57" fillId="2" borderId="4" xfId="0" applyNumberFormat="1" applyFont="1" applyFill="1" applyBorder="1" applyAlignment="1">
      <alignment horizontal="center" vertical="center"/>
    </xf>
    <xf numFmtId="9" fontId="57" fillId="2" borderId="4" xfId="0" applyNumberFormat="1" applyFont="1" applyFill="1" applyBorder="1" applyAlignment="1">
      <alignment horizontal="left" vertical="center" indent="3"/>
    </xf>
    <xf numFmtId="0" fontId="57" fillId="2" borderId="5" xfId="0" applyFont="1" applyFill="1" applyBorder="1" applyAlignment="1">
      <alignment horizontal="left" vertical="center" indent="2"/>
    </xf>
    <xf numFmtId="0" fontId="60" fillId="0" borderId="0" xfId="0" applyFont="1" applyFill="1" applyBorder="1" applyAlignment="1">
      <alignment vertical="center"/>
    </xf>
    <xf numFmtId="0" fontId="57" fillId="2" borderId="4" xfId="0" applyFont="1" applyFill="1" applyBorder="1" applyAlignment="1">
      <alignment horizontal="left" vertical="center" indent="3"/>
    </xf>
    <xf numFmtId="0" fontId="60" fillId="0" borderId="0" xfId="0" applyFont="1" applyFill="1" applyBorder="1" applyAlignment="1">
      <alignment horizontal="left" vertical="center" indent="1"/>
    </xf>
    <xf numFmtId="0" fontId="57" fillId="0" borderId="0" xfId="0" applyFont="1" applyFill="1" applyBorder="1" applyAlignment="1">
      <alignment horizontal="left" vertical="center" indent="1"/>
    </xf>
    <xf numFmtId="0" fontId="0" fillId="2" borderId="6" xfId="0" applyFont="1" applyFill="1" applyBorder="1" applyAlignment="1">
      <alignment vertical="center"/>
    </xf>
    <xf numFmtId="0" fontId="0" fillId="2" borderId="8" xfId="0" applyFont="1" applyFill="1" applyBorder="1" applyAlignment="1">
      <alignment vertical="center"/>
    </xf>
    <xf numFmtId="0" fontId="60" fillId="2" borderId="6" xfId="0" applyFont="1" applyFill="1" applyBorder="1" applyAlignment="1">
      <alignment horizontal="left" vertical="center" indent="1"/>
    </xf>
    <xf numFmtId="166" fontId="57" fillId="2" borderId="0" xfId="0" applyNumberFormat="1" applyFont="1" applyFill="1" applyBorder="1" applyAlignment="1">
      <alignment horizontal="center" vertical="center"/>
    </xf>
    <xf numFmtId="167" fontId="57" fillId="2" borderId="5" xfId="0" applyNumberFormat="1" applyFont="1" applyFill="1" applyBorder="1" applyAlignment="1">
      <alignment horizontal="center" vertical="center"/>
    </xf>
    <xf numFmtId="0" fontId="10" fillId="2" borderId="5" xfId="0" quotePrefix="1" applyFont="1" applyFill="1" applyBorder="1" applyAlignment="1">
      <alignment horizontal="center" vertical="center"/>
    </xf>
    <xf numFmtId="0" fontId="59" fillId="2" borderId="4" xfId="0" applyFont="1" applyFill="1" applyBorder="1" applyAlignment="1">
      <alignment horizontal="center" vertical="center"/>
    </xf>
    <xf numFmtId="0" fontId="57" fillId="2" borderId="4" xfId="0" applyFont="1" applyFill="1" applyBorder="1" applyAlignment="1">
      <alignment horizontal="center" vertical="center"/>
    </xf>
    <xf numFmtId="0" fontId="57" fillId="2" borderId="5" xfId="0" applyFont="1" applyFill="1" applyBorder="1" applyAlignment="1">
      <alignment horizontal="center" vertical="center"/>
    </xf>
    <xf numFmtId="0" fontId="60" fillId="2" borderId="4" xfId="0" applyFont="1" applyFill="1" applyBorder="1" applyAlignment="1">
      <alignment horizontal="center" vertical="center"/>
    </xf>
    <xf numFmtId="0" fontId="57" fillId="2" borderId="6" xfId="0" applyFont="1" applyFill="1" applyBorder="1" applyAlignment="1">
      <alignment horizontal="left" vertical="center"/>
    </xf>
    <xf numFmtId="0" fontId="0" fillId="2" borderId="7" xfId="0" applyFont="1" applyFill="1" applyBorder="1" applyAlignment="1">
      <alignment vertical="center"/>
    </xf>
    <xf numFmtId="0" fontId="59" fillId="2" borderId="5" xfId="0" applyFont="1" applyFill="1" applyBorder="1" applyAlignment="1">
      <alignment horizontal="center" vertical="center"/>
    </xf>
    <xf numFmtId="0" fontId="59" fillId="2" borderId="0" xfId="0" applyFont="1" applyFill="1" applyBorder="1" applyAlignment="1">
      <alignment horizontal="center" vertical="center"/>
    </xf>
    <xf numFmtId="0" fontId="0" fillId="0" borderId="0" xfId="0" applyProtection="1"/>
    <xf numFmtId="0" fontId="0" fillId="0" borderId="0" xfId="0" applyAlignment="1" applyProtection="1">
      <alignment horizontal="center" wrapText="1"/>
    </xf>
    <xf numFmtId="0" fontId="0" fillId="2" borderId="1" xfId="0" applyFill="1" applyBorder="1" applyProtection="1"/>
    <xf numFmtId="0" fontId="0" fillId="2" borderId="3" xfId="0" applyFill="1" applyBorder="1" applyProtection="1"/>
    <xf numFmtId="0" fontId="0" fillId="2" borderId="4" xfId="0" applyFill="1" applyBorder="1" applyProtection="1"/>
    <xf numFmtId="0" fontId="0" fillId="2" borderId="5" xfId="0" applyFill="1" applyBorder="1" applyProtection="1"/>
    <xf numFmtId="0" fontId="0" fillId="2" borderId="0" xfId="0" applyFill="1" applyBorder="1" applyProtection="1"/>
    <xf numFmtId="0" fontId="0" fillId="2" borderId="6" xfId="0" applyFill="1" applyBorder="1" applyProtection="1"/>
    <xf numFmtId="0" fontId="0" fillId="2" borderId="7" xfId="0" applyFill="1" applyBorder="1" applyProtection="1"/>
    <xf numFmtId="0" fontId="0" fillId="2" borderId="8" xfId="0" applyFill="1" applyBorder="1" applyProtection="1"/>
    <xf numFmtId="0" fontId="0" fillId="3" borderId="1" xfId="0" applyFill="1" applyBorder="1" applyProtection="1"/>
    <xf numFmtId="0" fontId="6" fillId="3" borderId="2" xfId="0" applyFont="1" applyFill="1" applyBorder="1" applyAlignment="1" applyProtection="1"/>
    <xf numFmtId="0" fontId="0" fillId="2" borderId="0" xfId="0" applyFill="1" applyBorder="1" applyAlignment="1" applyProtection="1">
      <alignment horizontal="left" indent="1"/>
    </xf>
    <xf numFmtId="0" fontId="2" fillId="2" borderId="4" xfId="0" applyFont="1" applyFill="1" applyBorder="1" applyAlignment="1" applyProtection="1">
      <alignment horizontal="right" vertical="center"/>
    </xf>
    <xf numFmtId="0" fontId="0" fillId="2" borderId="9" xfId="0" applyFill="1" applyBorder="1" applyProtection="1"/>
    <xf numFmtId="0" fontId="9" fillId="2" borderId="9" xfId="0" applyFont="1" applyFill="1" applyBorder="1" applyProtection="1"/>
    <xf numFmtId="0" fontId="8" fillId="2" borderId="0" xfId="0" applyFont="1" applyFill="1" applyBorder="1" applyAlignment="1" applyProtection="1">
      <alignment horizontal="left" indent="5"/>
    </xf>
    <xf numFmtId="0" fontId="10" fillId="2" borderId="0" xfId="0" applyFont="1" applyFill="1" applyBorder="1" applyAlignment="1" applyProtection="1">
      <alignment horizontal="left" indent="1"/>
    </xf>
    <xf numFmtId="39" fontId="10" fillId="3" borderId="10" xfId="1" applyNumberFormat="1" applyFont="1" applyFill="1" applyBorder="1" applyAlignment="1" applyProtection="1">
      <alignment horizontal="center"/>
      <protection locked="0"/>
    </xf>
    <xf numFmtId="0" fontId="0" fillId="2" borderId="7" xfId="0" applyFill="1" applyBorder="1" applyAlignment="1" applyProtection="1">
      <alignment horizontal="left" indent="3"/>
    </xf>
    <xf numFmtId="0" fontId="0" fillId="2" borderId="7" xfId="0" applyFill="1" applyBorder="1" applyAlignment="1" applyProtection="1">
      <alignment horizontal="left" indent="2"/>
    </xf>
    <xf numFmtId="0" fontId="10" fillId="2" borderId="7" xfId="0" applyFont="1" applyFill="1" applyBorder="1" applyAlignment="1" applyProtection="1">
      <alignment horizontal="left" indent="1"/>
    </xf>
    <xf numFmtId="0" fontId="0" fillId="0" borderId="0" xfId="0" applyAlignment="1" applyProtection="1">
      <alignment horizontal="left" indent="3"/>
    </xf>
    <xf numFmtId="0" fontId="0" fillId="0" borderId="0" xfId="0" applyAlignment="1" applyProtection="1">
      <alignment horizontal="left" indent="2"/>
    </xf>
    <xf numFmtId="0" fontId="10" fillId="0" borderId="0" xfId="0" applyFont="1" applyAlignment="1" applyProtection="1">
      <alignment horizontal="left" indent="1"/>
    </xf>
    <xf numFmtId="0" fontId="6" fillId="3" borderId="2" xfId="0" applyFont="1" applyFill="1" applyBorder="1" applyAlignment="1" applyProtection="1">
      <alignment horizontal="left" indent="4"/>
    </xf>
    <xf numFmtId="0" fontId="6" fillId="3" borderId="2" xfId="0" applyFont="1" applyFill="1" applyBorder="1" applyAlignment="1" applyProtection="1">
      <alignment horizontal="left" indent="1"/>
    </xf>
    <xf numFmtId="0" fontId="22" fillId="3" borderId="2" xfId="0" applyFont="1" applyFill="1" applyBorder="1" applyAlignment="1" applyProtection="1"/>
    <xf numFmtId="0" fontId="0" fillId="3" borderId="3" xfId="0" applyFill="1" applyBorder="1" applyProtection="1"/>
    <xf numFmtId="0" fontId="0" fillId="2" borderId="0" xfId="0" applyFill="1" applyBorder="1" applyAlignment="1" applyProtection="1">
      <alignment horizontal="left" indent="3"/>
    </xf>
    <xf numFmtId="0" fontId="0" fillId="2" borderId="0" xfId="0" applyFill="1" applyBorder="1" applyAlignment="1" applyProtection="1">
      <alignment horizontal="left" indent="2"/>
    </xf>
    <xf numFmtId="0" fontId="2" fillId="2" borderId="4" xfId="0" applyFont="1" applyFill="1" applyBorder="1" applyAlignment="1" applyProtection="1">
      <alignment horizontal="right"/>
    </xf>
    <xf numFmtId="0" fontId="13" fillId="2" borderId="0" xfId="0" applyFont="1" applyFill="1" applyBorder="1" applyAlignment="1" applyProtection="1">
      <alignment horizontal="left" indent="5"/>
    </xf>
    <xf numFmtId="0" fontId="12" fillId="2" borderId="0" xfId="0" applyFont="1" applyFill="1" applyBorder="1" applyAlignment="1" applyProtection="1">
      <alignment horizontal="center" wrapText="1"/>
    </xf>
    <xf numFmtId="0" fontId="0" fillId="0" borderId="0" xfId="0" applyAlignment="1" applyProtection="1">
      <alignment wrapText="1"/>
    </xf>
    <xf numFmtId="0" fontId="17" fillId="2" borderId="0" xfId="0" applyFont="1" applyFill="1" applyBorder="1" applyAlignment="1" applyProtection="1"/>
    <xf numFmtId="0" fontId="17" fillId="2" borderId="0" xfId="0" applyFont="1" applyFill="1" applyBorder="1" applyAlignment="1" applyProtection="1">
      <alignment horizontal="left"/>
    </xf>
    <xf numFmtId="0" fontId="0" fillId="2" borderId="9" xfId="0" applyFill="1" applyBorder="1" applyAlignment="1" applyProtection="1">
      <alignment horizontal="left" indent="1"/>
    </xf>
    <xf numFmtId="0" fontId="0" fillId="0" borderId="0" xfId="0" applyAlignment="1" applyProtection="1">
      <alignment horizontal="left" indent="1"/>
    </xf>
    <xf numFmtId="0" fontId="0" fillId="2" borderId="2" xfId="0" applyFill="1" applyBorder="1" applyProtection="1"/>
    <xf numFmtId="0" fontId="0" fillId="2" borderId="91" xfId="0" applyFill="1" applyBorder="1" applyProtection="1"/>
    <xf numFmtId="0" fontId="0" fillId="2" borderId="60" xfId="0" applyFill="1" applyBorder="1" applyProtection="1"/>
    <xf numFmtId="0" fontId="22" fillId="2" borderId="0" xfId="0" applyFont="1" applyFill="1" applyBorder="1" applyAlignment="1" applyProtection="1">
      <alignment horizontal="center" vertical="center" wrapText="1"/>
    </xf>
    <xf numFmtId="0" fontId="22" fillId="2" borderId="13" xfId="0" applyFont="1" applyFill="1" applyBorder="1" applyAlignment="1" applyProtection="1">
      <alignment horizontal="center" vertical="center" wrapText="1"/>
    </xf>
    <xf numFmtId="0" fontId="0" fillId="2" borderId="81" xfId="0" applyFill="1" applyBorder="1" applyProtection="1"/>
    <xf numFmtId="0" fontId="23" fillId="2" borderId="0" xfId="0" applyFont="1" applyFill="1" applyAlignment="1" applyProtection="1">
      <alignment horizontal="center" wrapText="1"/>
    </xf>
    <xf numFmtId="0" fontId="65" fillId="2" borderId="0" xfId="0" applyFont="1" applyFill="1" applyAlignment="1" applyProtection="1">
      <alignment horizontal="center" wrapText="1"/>
    </xf>
    <xf numFmtId="0" fontId="23" fillId="2" borderId="0" xfId="0" applyFont="1" applyFill="1" applyAlignment="1" applyProtection="1">
      <alignment wrapText="1"/>
    </xf>
    <xf numFmtId="0" fontId="0" fillId="2" borderId="0" xfId="0" applyFill="1" applyProtection="1"/>
    <xf numFmtId="0" fontId="0" fillId="2" borderId="0" xfId="0" applyFill="1" applyAlignment="1" applyProtection="1">
      <alignment horizontal="center" wrapText="1"/>
    </xf>
    <xf numFmtId="0" fontId="0" fillId="2" borderId="0" xfId="0" applyFill="1" applyAlignment="1" applyProtection="1">
      <alignment wrapText="1"/>
    </xf>
    <xf numFmtId="0" fontId="39" fillId="2" borderId="15" xfId="0" applyFont="1" applyFill="1" applyBorder="1" applyAlignment="1" applyProtection="1">
      <alignment horizontal="center" wrapText="1"/>
    </xf>
    <xf numFmtId="0" fontId="38" fillId="2" borderId="0" xfId="0" applyFont="1" applyFill="1" applyAlignment="1" applyProtection="1">
      <alignment horizontal="center" wrapText="1"/>
    </xf>
    <xf numFmtId="0" fontId="38" fillId="2" borderId="0" xfId="0" applyFont="1" applyFill="1" applyAlignment="1" applyProtection="1">
      <alignment wrapText="1"/>
    </xf>
    <xf numFmtId="0" fontId="66" fillId="2" borderId="0" xfId="0" applyFont="1" applyFill="1" applyProtection="1"/>
    <xf numFmtId="0" fontId="39" fillId="2" borderId="17" xfId="0" applyFont="1" applyFill="1" applyBorder="1" applyAlignment="1" applyProtection="1">
      <alignment horizontal="center" wrapText="1"/>
    </xf>
    <xf numFmtId="2" fontId="38" fillId="2" borderId="0" xfId="0" applyNumberFormat="1" applyFont="1" applyFill="1" applyAlignment="1" applyProtection="1">
      <alignment horizontal="center" wrapText="1"/>
      <protection locked="0"/>
    </xf>
    <xf numFmtId="2" fontId="38" fillId="2" borderId="58" xfId="0" applyNumberFormat="1" applyFont="1" applyFill="1" applyBorder="1" applyAlignment="1" applyProtection="1">
      <alignment horizontal="center" wrapText="1"/>
      <protection locked="0"/>
    </xf>
    <xf numFmtId="0" fontId="39" fillId="2" borderId="0" xfId="0" applyFont="1" applyFill="1" applyAlignment="1" applyProtection="1">
      <alignment horizontal="center" wrapText="1"/>
    </xf>
    <xf numFmtId="0" fontId="38" fillId="2" borderId="15" xfId="0" applyFont="1" applyFill="1" applyBorder="1" applyAlignment="1" applyProtection="1">
      <alignment horizontal="center" wrapText="1"/>
    </xf>
    <xf numFmtId="0" fontId="39" fillId="2" borderId="14" xfId="0" applyFont="1" applyFill="1" applyBorder="1" applyAlignment="1" applyProtection="1">
      <alignment horizontal="center" wrapText="1"/>
    </xf>
    <xf numFmtId="0" fontId="38" fillId="2" borderId="18" xfId="0" applyFont="1" applyFill="1" applyBorder="1" applyAlignment="1" applyProtection="1">
      <alignment horizontal="center" wrapText="1"/>
    </xf>
    <xf numFmtId="0" fontId="38" fillId="2" borderId="0" xfId="0" applyFont="1" applyFill="1" applyBorder="1" applyAlignment="1" applyProtection="1">
      <alignment horizontal="center" wrapText="1"/>
    </xf>
    <xf numFmtId="0" fontId="12" fillId="4" borderId="29" xfId="0" applyFont="1" applyFill="1" applyBorder="1" applyAlignment="1">
      <alignment horizontal="left" vertical="center" wrapText="1" indent="1"/>
    </xf>
    <xf numFmtId="0" fontId="12" fillId="4" borderId="40" xfId="0" applyFont="1" applyFill="1" applyBorder="1" applyAlignment="1">
      <alignment horizontal="left" vertical="center" wrapText="1" indent="1"/>
    </xf>
    <xf numFmtId="0" fontId="38" fillId="2" borderId="17" xfId="0" applyFont="1" applyFill="1" applyBorder="1" applyAlignment="1" applyProtection="1">
      <alignment horizontal="center" wrapText="1"/>
    </xf>
    <xf numFmtId="0" fontId="38" fillId="2" borderId="60" xfId="0" applyFont="1" applyFill="1" applyBorder="1" applyAlignment="1" applyProtection="1">
      <alignment horizontal="center" wrapText="1"/>
    </xf>
    <xf numFmtId="0" fontId="0" fillId="2" borderId="17" xfId="0" applyFill="1" applyBorder="1" applyAlignment="1" applyProtection="1">
      <alignment horizontal="center" wrapText="1"/>
    </xf>
    <xf numFmtId="0" fontId="9" fillId="2" borderId="9" xfId="0" applyFont="1" applyFill="1" applyBorder="1" applyAlignment="1" applyProtection="1">
      <alignment horizontal="right" indent="1"/>
    </xf>
    <xf numFmtId="0" fontId="0" fillId="2" borderId="0" xfId="0" applyFill="1" applyAlignment="1" applyProtection="1">
      <alignment horizontal="center"/>
    </xf>
    <xf numFmtId="0" fontId="0" fillId="0" borderId="0" xfId="0" applyAlignment="1" applyProtection="1">
      <alignment horizontal="center"/>
    </xf>
    <xf numFmtId="0" fontId="39" fillId="2" borderId="95" xfId="0" applyFont="1" applyFill="1" applyBorder="1" applyAlignment="1" applyProtection="1">
      <alignment horizontal="center" wrapText="1"/>
    </xf>
    <xf numFmtId="0" fontId="39" fillId="2" borderId="16" xfId="0" applyFont="1" applyFill="1" applyBorder="1" applyAlignment="1" applyProtection="1">
      <alignment horizontal="center" wrapText="1"/>
    </xf>
    <xf numFmtId="0" fontId="38" fillId="2" borderId="59" xfId="0" applyFont="1" applyFill="1" applyBorder="1" applyAlignment="1" applyProtection="1">
      <alignment horizontal="center" wrapText="1"/>
    </xf>
    <xf numFmtId="0" fontId="66" fillId="2" borderId="60" xfId="0" applyFont="1" applyFill="1" applyBorder="1" applyAlignment="1" applyProtection="1">
      <alignment horizontal="center" wrapText="1"/>
    </xf>
    <xf numFmtId="0" fontId="66" fillId="2" borderId="0" xfId="0" applyFont="1" applyFill="1" applyBorder="1" applyAlignment="1" applyProtection="1">
      <alignment horizontal="center" wrapText="1"/>
    </xf>
    <xf numFmtId="0" fontId="66" fillId="2" borderId="59" xfId="0" applyFont="1" applyFill="1" applyBorder="1" applyAlignment="1" applyProtection="1">
      <alignment horizontal="center" wrapText="1"/>
    </xf>
    <xf numFmtId="0" fontId="66" fillId="2" borderId="18" xfId="0" applyFont="1" applyFill="1" applyBorder="1" applyAlignment="1" applyProtection="1">
      <alignment horizontal="center" wrapText="1"/>
    </xf>
    <xf numFmtId="0" fontId="66" fillId="2" borderId="17" xfId="0" applyFont="1" applyFill="1" applyBorder="1" applyAlignment="1" applyProtection="1">
      <alignment horizontal="center" wrapText="1"/>
    </xf>
    <xf numFmtId="0" fontId="66" fillId="2" borderId="23" xfId="0" applyFont="1" applyFill="1" applyBorder="1" applyAlignment="1" applyProtection="1">
      <alignment horizontal="center" wrapText="1"/>
    </xf>
    <xf numFmtId="0" fontId="38" fillId="2" borderId="21" xfId="0" applyFont="1" applyFill="1" applyBorder="1" applyAlignment="1" applyProtection="1">
      <alignment horizontal="center" wrapText="1"/>
    </xf>
    <xf numFmtId="0" fontId="38" fillId="2" borderId="22" xfId="0" applyFont="1" applyFill="1" applyBorder="1" applyAlignment="1" applyProtection="1">
      <alignment horizontal="center" wrapText="1"/>
    </xf>
    <xf numFmtId="0" fontId="0" fillId="2" borderId="60" xfId="0" applyFill="1" applyBorder="1" applyAlignment="1" applyProtection="1">
      <alignment horizontal="center" wrapText="1"/>
    </xf>
    <xf numFmtId="0" fontId="0" fillId="2" borderId="18" xfId="0" applyFill="1" applyBorder="1" applyAlignment="1" applyProtection="1">
      <alignment horizontal="center" wrapText="1"/>
    </xf>
    <xf numFmtId="2" fontId="38" fillId="2" borderId="59" xfId="0" applyNumberFormat="1" applyFont="1" applyFill="1" applyBorder="1" applyAlignment="1" applyProtection="1">
      <alignment horizontal="center" wrapText="1"/>
    </xf>
    <xf numFmtId="2" fontId="38" fillId="2" borderId="23" xfId="0" applyNumberFormat="1" applyFont="1" applyFill="1" applyBorder="1" applyAlignment="1" applyProtection="1">
      <alignment horizontal="center" wrapText="1"/>
    </xf>
    <xf numFmtId="2" fontId="0" fillId="2" borderId="59" xfId="0" applyNumberFormat="1" applyFill="1" applyBorder="1" applyAlignment="1" applyProtection="1">
      <alignment horizontal="center"/>
    </xf>
    <xf numFmtId="2" fontId="0" fillId="2" borderId="23" xfId="0" applyNumberFormat="1" applyFill="1" applyBorder="1" applyAlignment="1" applyProtection="1">
      <alignment horizontal="center"/>
    </xf>
    <xf numFmtId="2" fontId="10" fillId="2" borderId="59" xfId="0" applyNumberFormat="1" applyFont="1" applyFill="1" applyBorder="1" applyAlignment="1" applyProtection="1">
      <alignment horizontal="center"/>
    </xf>
    <xf numFmtId="2" fontId="10" fillId="2" borderId="23" xfId="0" applyNumberFormat="1" applyFont="1" applyFill="1" applyBorder="1" applyAlignment="1" applyProtection="1">
      <alignment horizontal="center"/>
    </xf>
    <xf numFmtId="0" fontId="66" fillId="2" borderId="0" xfId="0" applyFont="1" applyFill="1" applyAlignment="1">
      <alignment horizontal="center"/>
    </xf>
    <xf numFmtId="0" fontId="66" fillId="2" borderId="0" xfId="0" applyFont="1" applyFill="1"/>
    <xf numFmtId="0" fontId="66" fillId="2" borderId="17" xfId="0" applyFont="1" applyFill="1" applyBorder="1" applyAlignment="1">
      <alignment horizontal="center"/>
    </xf>
    <xf numFmtId="0" fontId="38" fillId="2" borderId="0" xfId="0" applyFont="1" applyFill="1" applyAlignment="1">
      <alignment horizontal="center"/>
    </xf>
    <xf numFmtId="0" fontId="39" fillId="2" borderId="0" xfId="0" applyFont="1" applyFill="1" applyAlignment="1">
      <alignment horizontal="center"/>
    </xf>
    <xf numFmtId="0" fontId="67" fillId="2" borderId="23" xfId="0" applyFont="1" applyFill="1" applyBorder="1" applyAlignment="1">
      <alignment horizontal="center" wrapText="1"/>
    </xf>
    <xf numFmtId="0" fontId="67" fillId="2" borderId="22" xfId="0" applyFont="1" applyFill="1" applyBorder="1" applyAlignment="1">
      <alignment horizontal="center" wrapText="1"/>
    </xf>
    <xf numFmtId="0" fontId="67" fillId="2" borderId="18" xfId="0" applyFont="1" applyFill="1" applyBorder="1" applyAlignment="1">
      <alignment horizontal="center" wrapText="1"/>
    </xf>
    <xf numFmtId="0" fontId="39" fillId="2" borderId="15" xfId="0" applyFont="1" applyFill="1" applyBorder="1" applyAlignment="1">
      <alignment horizontal="center"/>
    </xf>
    <xf numFmtId="0" fontId="66" fillId="2" borderId="61" xfId="0" applyFont="1" applyFill="1" applyBorder="1" applyAlignment="1">
      <alignment horizontal="center"/>
    </xf>
    <xf numFmtId="0" fontId="66" fillId="2" borderId="20" xfId="0" applyFont="1" applyFill="1" applyBorder="1" applyAlignment="1">
      <alignment horizontal="center"/>
    </xf>
    <xf numFmtId="0" fontId="66" fillId="2" borderId="19" xfId="0" applyFont="1" applyFill="1" applyBorder="1" applyAlignment="1">
      <alignment horizontal="center"/>
    </xf>
    <xf numFmtId="0" fontId="66" fillId="2" borderId="59" xfId="0" applyFont="1" applyFill="1" applyBorder="1" applyAlignment="1">
      <alignment horizontal="center"/>
    </xf>
    <xf numFmtId="0" fontId="66" fillId="2" borderId="21" xfId="0" applyFont="1" applyFill="1" applyBorder="1" applyAlignment="1">
      <alignment horizontal="center"/>
    </xf>
    <xf numFmtId="0" fontId="66" fillId="2" borderId="60" xfId="0" applyFont="1" applyFill="1" applyBorder="1" applyAlignment="1">
      <alignment horizontal="center"/>
    </xf>
    <xf numFmtId="0" fontId="39" fillId="2" borderId="17" xfId="0" applyFont="1" applyFill="1" applyBorder="1" applyAlignment="1">
      <alignment horizontal="center"/>
    </xf>
    <xf numFmtId="0" fontId="39" fillId="2" borderId="18" xfId="0" applyFont="1" applyFill="1" applyBorder="1" applyAlignment="1">
      <alignment horizontal="center"/>
    </xf>
    <xf numFmtId="0" fontId="38" fillId="2" borderId="0" xfId="0" applyFont="1" applyFill="1" applyBorder="1" applyAlignment="1">
      <alignment horizontal="center"/>
    </xf>
    <xf numFmtId="0" fontId="39" fillId="2" borderId="23" xfId="0" applyFont="1" applyFill="1" applyBorder="1" applyAlignment="1">
      <alignment horizontal="center"/>
    </xf>
    <xf numFmtId="0" fontId="39" fillId="2" borderId="22" xfId="0" applyFont="1" applyFill="1" applyBorder="1" applyAlignment="1">
      <alignment horizontal="center"/>
    </xf>
    <xf numFmtId="0" fontId="39" fillId="2" borderId="17" xfId="0" applyFont="1" applyFill="1" applyBorder="1" applyAlignment="1">
      <alignment horizontal="center" wrapText="1"/>
    </xf>
    <xf numFmtId="0" fontId="38" fillId="2" borderId="0" xfId="0" quotePrefix="1" applyFont="1" applyFill="1" applyAlignment="1">
      <alignment horizontal="center"/>
    </xf>
    <xf numFmtId="0" fontId="39" fillId="2" borderId="20" xfId="0" applyFont="1" applyFill="1" applyBorder="1" applyAlignment="1">
      <alignment horizontal="center"/>
    </xf>
    <xf numFmtId="0" fontId="38" fillId="2" borderId="21" xfId="0" applyFont="1" applyFill="1" applyBorder="1" applyAlignment="1">
      <alignment horizontal="center"/>
    </xf>
    <xf numFmtId="2" fontId="38" fillId="2" borderId="0" xfId="0" applyNumberFormat="1" applyFont="1" applyFill="1" applyBorder="1" applyAlignment="1">
      <alignment horizontal="center"/>
    </xf>
    <xf numFmtId="0" fontId="38" fillId="2" borderId="22" xfId="0" applyFont="1" applyFill="1" applyBorder="1" applyAlignment="1">
      <alignment horizontal="center"/>
    </xf>
    <xf numFmtId="0" fontId="8" fillId="2" borderId="0" xfId="0" applyFont="1" applyFill="1" applyBorder="1" applyAlignment="1" applyProtection="1">
      <alignment horizontal="left" indent="4"/>
    </xf>
    <xf numFmtId="0" fontId="71" fillId="2" borderId="0" xfId="0" applyFont="1" applyFill="1" applyBorder="1" applyAlignment="1">
      <alignment horizontal="left"/>
    </xf>
    <xf numFmtId="0" fontId="0" fillId="7" borderId="0" xfId="0" applyFill="1" applyProtection="1"/>
    <xf numFmtId="0" fontId="0" fillId="7" borderId="0" xfId="0" applyFill="1" applyAlignment="1" applyProtection="1">
      <alignment horizontal="center" wrapText="1"/>
    </xf>
    <xf numFmtId="0" fontId="0" fillId="7" borderId="0" xfId="0" applyFill="1" applyAlignment="1" applyProtection="1">
      <alignment horizontal="center"/>
    </xf>
    <xf numFmtId="0" fontId="0" fillId="7" borderId="0" xfId="0" applyFill="1" applyAlignment="1" applyProtection="1">
      <alignment wrapText="1"/>
    </xf>
    <xf numFmtId="0" fontId="38" fillId="7" borderId="0" xfId="0" applyFont="1" applyFill="1" applyAlignment="1" applyProtection="1">
      <alignment horizontal="center" wrapText="1"/>
    </xf>
    <xf numFmtId="0" fontId="38" fillId="7" borderId="0" xfId="0" applyFont="1" applyFill="1" applyAlignment="1" applyProtection="1">
      <alignment wrapText="1"/>
    </xf>
    <xf numFmtId="0" fontId="66" fillId="7" borderId="0" xfId="0" applyFont="1" applyFill="1" applyProtection="1"/>
    <xf numFmtId="2" fontId="38" fillId="8" borderId="0" xfId="0" applyNumberFormat="1" applyFont="1" applyFill="1" applyAlignment="1" applyProtection="1">
      <alignment horizontal="center"/>
      <protection locked="0"/>
    </xf>
    <xf numFmtId="2" fontId="38" fillId="10" borderId="19" xfId="0" applyNumberFormat="1" applyFont="1" applyFill="1" applyBorder="1" applyAlignment="1" applyProtection="1">
      <alignment horizontal="center"/>
      <protection locked="0"/>
    </xf>
    <xf numFmtId="2" fontId="38" fillId="10" borderId="0" xfId="0" applyNumberFormat="1" applyFont="1" applyFill="1" applyAlignment="1" applyProtection="1">
      <alignment horizontal="center"/>
      <protection locked="0"/>
    </xf>
    <xf numFmtId="0" fontId="38" fillId="2" borderId="19" xfId="0" applyFont="1" applyFill="1" applyBorder="1" applyAlignment="1" applyProtection="1">
      <alignment horizontal="center"/>
      <protection locked="0"/>
    </xf>
    <xf numFmtId="0" fontId="38" fillId="2" borderId="58" xfId="0" applyFont="1" applyFill="1" applyBorder="1" applyAlignment="1" applyProtection="1">
      <alignment horizontal="center"/>
      <protection locked="0"/>
    </xf>
    <xf numFmtId="2" fontId="38" fillId="8" borderId="16" xfId="0" applyNumberFormat="1" applyFont="1" applyFill="1" applyBorder="1" applyAlignment="1" applyProtection="1">
      <alignment horizontal="center"/>
      <protection locked="0"/>
    </xf>
    <xf numFmtId="2" fontId="38" fillId="10" borderId="16" xfId="0" applyNumberFormat="1" applyFont="1" applyFill="1" applyBorder="1" applyAlignment="1" applyProtection="1">
      <alignment horizontal="center"/>
      <protection locked="0"/>
    </xf>
    <xf numFmtId="2" fontId="38" fillId="11" borderId="59" xfId="0" applyNumberFormat="1" applyFont="1" applyFill="1" applyBorder="1" applyAlignment="1" applyProtection="1">
      <alignment horizontal="center"/>
      <protection locked="0"/>
    </xf>
    <xf numFmtId="2" fontId="38" fillId="11" borderId="21" xfId="0" applyNumberFormat="1" applyFont="1" applyFill="1" applyBorder="1" applyAlignment="1" applyProtection="1">
      <alignment horizontal="center"/>
      <protection locked="0"/>
    </xf>
    <xf numFmtId="2" fontId="38" fillId="11" borderId="60" xfId="0" applyNumberFormat="1" applyFont="1" applyFill="1" applyBorder="1" applyAlignment="1" applyProtection="1">
      <alignment horizontal="center"/>
      <protection locked="0"/>
    </xf>
    <xf numFmtId="2" fontId="38" fillId="11" borderId="14" xfId="0" applyNumberFormat="1" applyFont="1" applyFill="1" applyBorder="1" applyAlignment="1" applyProtection="1">
      <alignment horizontal="center"/>
      <protection locked="0"/>
    </xf>
    <xf numFmtId="0" fontId="38" fillId="2" borderId="0" xfId="0" applyFont="1" applyFill="1" applyAlignment="1" applyProtection="1">
      <alignment horizontal="center"/>
      <protection locked="0"/>
    </xf>
    <xf numFmtId="0" fontId="38" fillId="2" borderId="21" xfId="0" applyFont="1" applyFill="1" applyBorder="1" applyAlignment="1" applyProtection="1">
      <alignment horizontal="center"/>
      <protection locked="0"/>
    </xf>
    <xf numFmtId="2" fontId="68" fillId="9" borderId="21" xfId="0" applyNumberFormat="1" applyFont="1" applyFill="1" applyBorder="1" applyAlignment="1" applyProtection="1">
      <alignment horizontal="center"/>
      <protection locked="0"/>
    </xf>
    <xf numFmtId="2" fontId="68" fillId="13" borderId="0" xfId="0" applyNumberFormat="1" applyFont="1" applyFill="1" applyBorder="1" applyAlignment="1" applyProtection="1">
      <alignment horizontal="center"/>
      <protection locked="0"/>
    </xf>
    <xf numFmtId="2" fontId="68" fillId="9" borderId="0" xfId="0" applyNumberFormat="1" applyFont="1" applyFill="1" applyBorder="1" applyAlignment="1" applyProtection="1">
      <alignment horizontal="center"/>
      <protection locked="0"/>
    </xf>
    <xf numFmtId="2" fontId="38" fillId="12" borderId="21" xfId="0" applyNumberFormat="1" applyFont="1" applyFill="1" applyBorder="1" applyAlignment="1" applyProtection="1">
      <alignment horizontal="center"/>
      <protection locked="0"/>
    </xf>
    <xf numFmtId="2" fontId="38" fillId="12" borderId="0" xfId="0" applyNumberFormat="1" applyFont="1" applyFill="1" applyBorder="1" applyAlignment="1" applyProtection="1">
      <alignment horizontal="center"/>
      <protection locked="0"/>
    </xf>
    <xf numFmtId="0" fontId="69" fillId="4" borderId="21" xfId="0" applyFont="1" applyFill="1" applyBorder="1" applyAlignment="1" applyProtection="1">
      <alignment horizontal="center"/>
      <protection locked="0"/>
    </xf>
    <xf numFmtId="2" fontId="69" fillId="4" borderId="21" xfId="0" applyNumberFormat="1" applyFont="1" applyFill="1" applyBorder="1" applyAlignment="1" applyProtection="1">
      <alignment horizontal="center"/>
      <protection locked="0"/>
    </xf>
    <xf numFmtId="0" fontId="69" fillId="4" borderId="18" xfId="0" applyFont="1" applyFill="1" applyBorder="1" applyAlignment="1" applyProtection="1">
      <alignment horizontal="center"/>
      <protection locked="0"/>
    </xf>
    <xf numFmtId="2" fontId="69" fillId="4" borderId="23" xfId="0" applyNumberFormat="1" applyFont="1" applyFill="1" applyBorder="1" applyAlignment="1" applyProtection="1">
      <alignment horizontal="center"/>
      <protection locked="0"/>
    </xf>
    <xf numFmtId="0" fontId="66" fillId="5" borderId="0" xfId="0" applyFont="1" applyFill="1" applyAlignment="1" applyProtection="1">
      <alignment horizontal="center"/>
      <protection locked="0"/>
    </xf>
    <xf numFmtId="0" fontId="66" fillId="5" borderId="0" xfId="0" applyFont="1" applyFill="1" applyAlignment="1">
      <alignment horizontal="center"/>
    </xf>
    <xf numFmtId="0" fontId="0" fillId="5" borderId="0" xfId="0" applyFill="1" applyAlignment="1" applyProtection="1">
      <alignment horizontal="center" wrapText="1"/>
      <protection locked="0"/>
    </xf>
    <xf numFmtId="0" fontId="0" fillId="5" borderId="0" xfId="0" applyFill="1" applyAlignment="1" applyProtection="1">
      <alignment horizontal="center"/>
      <protection locked="0"/>
    </xf>
    <xf numFmtId="0" fontId="0" fillId="5" borderId="0" xfId="0" applyFill="1" applyAlignment="1">
      <alignment horizontal="center"/>
    </xf>
    <xf numFmtId="0" fontId="38" fillId="7" borderId="16" xfId="0" applyFont="1" applyFill="1" applyBorder="1" applyAlignment="1" applyProtection="1">
      <alignment horizontal="center"/>
      <protection locked="0"/>
    </xf>
    <xf numFmtId="1" fontId="38" fillId="7" borderId="16" xfId="0" applyNumberFormat="1" applyFont="1" applyFill="1" applyBorder="1" applyAlignment="1" applyProtection="1">
      <alignment horizontal="center" wrapText="1"/>
      <protection locked="0"/>
    </xf>
    <xf numFmtId="0" fontId="38" fillId="7" borderId="22" xfId="0" applyFont="1" applyFill="1" applyBorder="1" applyAlignment="1" applyProtection="1">
      <alignment horizontal="center" wrapText="1"/>
      <protection locked="0"/>
    </xf>
    <xf numFmtId="2" fontId="38" fillId="8" borderId="0" xfId="0" applyNumberFormat="1" applyFont="1" applyFill="1" applyAlignment="1" applyProtection="1">
      <alignment horizontal="center" wrapText="1"/>
      <protection locked="0"/>
    </xf>
    <xf numFmtId="2" fontId="38" fillId="16" borderId="0" xfId="0" applyNumberFormat="1" applyFont="1" applyFill="1" applyAlignment="1" applyProtection="1">
      <alignment horizontal="center" wrapText="1"/>
      <protection locked="0"/>
    </xf>
    <xf numFmtId="2" fontId="38" fillId="12" borderId="0" xfId="0" applyNumberFormat="1" applyFont="1" applyFill="1" applyAlignment="1" applyProtection="1">
      <alignment horizontal="center" wrapText="1"/>
      <protection locked="0"/>
    </xf>
    <xf numFmtId="2" fontId="38" fillId="16" borderId="14" xfId="0" applyNumberFormat="1" applyFont="1" applyFill="1" applyBorder="1" applyAlignment="1" applyProtection="1">
      <alignment horizontal="center" wrapText="1"/>
      <protection locked="0"/>
    </xf>
    <xf numFmtId="2" fontId="38" fillId="17" borderId="14" xfId="0" applyNumberFormat="1" applyFont="1" applyFill="1" applyBorder="1" applyAlignment="1" applyProtection="1">
      <alignment horizontal="center" wrapText="1"/>
      <protection locked="0"/>
    </xf>
    <xf numFmtId="2" fontId="38" fillId="17" borderId="0" xfId="0" applyNumberFormat="1" applyFont="1" applyFill="1" applyAlignment="1" applyProtection="1">
      <alignment horizontal="center" wrapText="1"/>
      <protection locked="0"/>
    </xf>
    <xf numFmtId="2" fontId="38" fillId="12" borderId="58" xfId="0" applyNumberFormat="1" applyFont="1" applyFill="1" applyBorder="1" applyAlignment="1" applyProtection="1">
      <alignment horizontal="center" wrapText="1"/>
      <protection locked="0"/>
    </xf>
    <xf numFmtId="2" fontId="68" fillId="13" borderId="0" xfId="0" applyNumberFormat="1" applyFont="1" applyFill="1" applyAlignment="1" applyProtection="1">
      <alignment horizontal="center" wrapText="1"/>
      <protection locked="0"/>
    </xf>
    <xf numFmtId="2" fontId="38" fillId="18" borderId="14" xfId="0" applyNumberFormat="1" applyFont="1" applyFill="1" applyBorder="1" applyAlignment="1" applyProtection="1">
      <alignment horizontal="center" wrapText="1"/>
      <protection locked="0"/>
    </xf>
    <xf numFmtId="2" fontId="38" fillId="18" borderId="0" xfId="0" applyNumberFormat="1" applyFont="1" applyFill="1" applyAlignment="1" applyProtection="1">
      <alignment horizontal="center" wrapText="1"/>
      <protection locked="0"/>
    </xf>
    <xf numFmtId="2" fontId="38" fillId="11" borderId="0" xfId="0" applyNumberFormat="1" applyFont="1" applyFill="1" applyAlignment="1" applyProtection="1">
      <alignment horizontal="center" wrapText="1"/>
      <protection locked="0"/>
    </xf>
    <xf numFmtId="2" fontId="38" fillId="11" borderId="14" xfId="0" applyNumberFormat="1" applyFont="1" applyFill="1" applyBorder="1" applyAlignment="1" applyProtection="1">
      <alignment horizontal="center" wrapText="1"/>
      <protection locked="0"/>
    </xf>
    <xf numFmtId="2" fontId="68" fillId="9" borderId="0" xfId="0" applyNumberFormat="1" applyFont="1" applyFill="1" applyAlignment="1" applyProtection="1">
      <alignment horizontal="center" wrapText="1"/>
      <protection locked="0"/>
    </xf>
    <xf numFmtId="0" fontId="68" fillId="9" borderId="21" xfId="0" applyFont="1" applyFill="1" applyBorder="1" applyAlignment="1" applyProtection="1">
      <alignment horizontal="center" wrapText="1"/>
      <protection locked="0"/>
    </xf>
    <xf numFmtId="168" fontId="68" fillId="9" borderId="21" xfId="0" applyNumberFormat="1" applyFont="1" applyFill="1" applyBorder="1" applyAlignment="1" applyProtection="1">
      <alignment horizontal="center" wrapText="1"/>
      <protection locked="0"/>
    </xf>
    <xf numFmtId="2" fontId="68" fillId="9" borderId="21" xfId="0" applyNumberFormat="1" applyFont="1" applyFill="1" applyBorder="1" applyAlignment="1" applyProtection="1">
      <alignment horizontal="center" wrapText="1"/>
      <protection locked="0"/>
    </xf>
    <xf numFmtId="2" fontId="68" fillId="9" borderId="22" xfId="0" applyNumberFormat="1" applyFont="1" applyFill="1" applyBorder="1" applyAlignment="1" applyProtection="1">
      <alignment horizontal="center" wrapText="1"/>
      <protection locked="0"/>
    </xf>
    <xf numFmtId="2" fontId="68" fillId="9" borderId="0" xfId="0" applyNumberFormat="1" applyFont="1" applyFill="1" applyBorder="1" applyAlignment="1" applyProtection="1">
      <alignment horizontal="center" wrapText="1"/>
      <protection locked="0"/>
    </xf>
    <xf numFmtId="0" fontId="68" fillId="20" borderId="21" xfId="0" applyFont="1" applyFill="1" applyBorder="1" applyAlignment="1" applyProtection="1">
      <alignment horizontal="center" wrapText="1"/>
      <protection locked="0"/>
    </xf>
    <xf numFmtId="168" fontId="68" fillId="20" borderId="21" xfId="0" applyNumberFormat="1" applyFont="1" applyFill="1" applyBorder="1" applyAlignment="1" applyProtection="1">
      <alignment horizontal="center" wrapText="1"/>
      <protection locked="0"/>
    </xf>
    <xf numFmtId="2" fontId="68" fillId="20" borderId="21" xfId="0" applyNumberFormat="1" applyFont="1" applyFill="1" applyBorder="1" applyAlignment="1" applyProtection="1">
      <alignment horizontal="center" wrapText="1"/>
      <protection locked="0"/>
    </xf>
    <xf numFmtId="2" fontId="68" fillId="20" borderId="22" xfId="0" applyNumberFormat="1" applyFont="1" applyFill="1" applyBorder="1" applyAlignment="1" applyProtection="1">
      <alignment horizontal="center" wrapText="1"/>
      <protection locked="0"/>
    </xf>
    <xf numFmtId="2" fontId="68" fillId="20" borderId="0" xfId="0" applyNumberFormat="1" applyFont="1" applyFill="1" applyAlignment="1" applyProtection="1">
      <alignment horizontal="center" wrapText="1"/>
      <protection locked="0"/>
    </xf>
    <xf numFmtId="0" fontId="0" fillId="2" borderId="0" xfId="0" applyFont="1" applyFill="1" applyBorder="1" applyAlignment="1">
      <alignment vertical="center"/>
    </xf>
    <xf numFmtId="168" fontId="57" fillId="2" borderId="0" xfId="0" applyNumberFormat="1" applyFont="1" applyFill="1" applyBorder="1" applyAlignment="1">
      <alignment horizontal="center" vertical="center"/>
    </xf>
    <xf numFmtId="168" fontId="10" fillId="2" borderId="0" xfId="0" applyNumberFormat="1" applyFont="1" applyFill="1" applyBorder="1" applyAlignment="1">
      <alignment horizontal="center" vertical="center"/>
    </xf>
    <xf numFmtId="0" fontId="0" fillId="2" borderId="4" xfId="0" applyFont="1" applyFill="1" applyBorder="1" applyAlignment="1">
      <alignment vertical="center"/>
    </xf>
    <xf numFmtId="0" fontId="57" fillId="2" borderId="4" xfId="0" applyFont="1" applyFill="1" applyBorder="1" applyAlignment="1">
      <alignment horizontal="left" vertical="center"/>
    </xf>
    <xf numFmtId="0" fontId="57" fillId="2" borderId="7" xfId="0" applyFont="1" applyFill="1" applyBorder="1" applyAlignment="1">
      <alignment horizontal="left" vertical="center" indent="1"/>
    </xf>
    <xf numFmtId="168" fontId="0" fillId="2" borderId="7" xfId="0" applyNumberFormat="1" applyFont="1" applyFill="1" applyBorder="1" applyAlignment="1">
      <alignment horizontal="center" vertical="center"/>
    </xf>
    <xf numFmtId="0" fontId="57" fillId="2" borderId="0" xfId="0" applyFont="1" applyFill="1" applyBorder="1" applyAlignment="1">
      <alignment horizontal="left" vertical="center" indent="2"/>
    </xf>
    <xf numFmtId="0" fontId="10" fillId="2" borderId="0" xfId="0" quotePrefix="1" applyFont="1" applyFill="1" applyBorder="1" applyAlignment="1">
      <alignment horizontal="left" vertical="center" indent="1"/>
    </xf>
    <xf numFmtId="0" fontId="10" fillId="2" borderId="0" xfId="0" applyFont="1" applyFill="1" applyBorder="1" applyAlignment="1">
      <alignment horizontal="left" vertical="center" indent="1"/>
    </xf>
    <xf numFmtId="0" fontId="10" fillId="2" borderId="5" xfId="0" applyFont="1" applyFill="1" applyBorder="1" applyAlignment="1">
      <alignment horizontal="left" vertical="center" indent="1"/>
    </xf>
    <xf numFmtId="0" fontId="0" fillId="0" borderId="0" xfId="0" applyAlignment="1" applyProtection="1">
      <alignment vertical="center"/>
    </xf>
    <xf numFmtId="0" fontId="0" fillId="13" borderId="0" xfId="0" applyFill="1" applyAlignment="1" applyProtection="1">
      <alignment vertical="center"/>
    </xf>
    <xf numFmtId="0" fontId="74" fillId="21" borderId="14" xfId="4" applyFont="1" applyFill="1" applyBorder="1" applyAlignment="1">
      <alignment horizontal="center" vertical="center" wrapText="1"/>
    </xf>
    <xf numFmtId="0" fontId="0" fillId="0" borderId="0" xfId="0" applyBorder="1" applyAlignment="1">
      <alignment vertical="center"/>
    </xf>
    <xf numFmtId="0" fontId="7" fillId="0" borderId="0" xfId="0" applyFont="1" applyBorder="1" applyAlignment="1">
      <alignment horizontal="center" vertical="center"/>
    </xf>
    <xf numFmtId="0" fontId="3" fillId="0" borderId="0" xfId="0" applyFont="1" applyAlignment="1" applyProtection="1">
      <alignment horizontal="center" vertical="center"/>
    </xf>
    <xf numFmtId="0" fontId="0" fillId="2" borderId="0" xfId="0" applyFill="1" applyAlignment="1" applyProtection="1">
      <alignment vertical="center"/>
    </xf>
    <xf numFmtId="0" fontId="22" fillId="2" borderId="0" xfId="0" applyFont="1" applyFill="1" applyAlignment="1" applyProtection="1">
      <alignment horizontal="center" vertical="center"/>
    </xf>
    <xf numFmtId="1" fontId="0" fillId="2" borderId="14" xfId="0" applyNumberFormat="1" applyFill="1" applyBorder="1" applyAlignment="1">
      <alignment horizontal="center" vertical="center"/>
    </xf>
    <xf numFmtId="0" fontId="0" fillId="2" borderId="14" xfId="0" applyFill="1" applyBorder="1" applyAlignment="1">
      <alignment horizontal="center" vertical="center"/>
    </xf>
    <xf numFmtId="2" fontId="0" fillId="2" borderId="14" xfId="0" applyNumberFormat="1" applyFill="1" applyBorder="1" applyAlignment="1">
      <alignment horizontal="center" vertical="center"/>
    </xf>
    <xf numFmtId="2" fontId="0" fillId="2" borderId="14" xfId="0" applyNumberFormat="1" applyFill="1" applyBorder="1" applyAlignment="1">
      <alignment horizontal="left" vertical="center"/>
    </xf>
    <xf numFmtId="0" fontId="0" fillId="2" borderId="1" xfId="0" applyFill="1" applyBorder="1" applyAlignment="1">
      <alignment vertical="center"/>
    </xf>
    <xf numFmtId="0" fontId="0" fillId="2" borderId="2" xfId="0" applyFill="1" applyBorder="1" applyAlignment="1">
      <alignment horizontal="center" vertical="center"/>
    </xf>
    <xf numFmtId="0" fontId="3" fillId="2" borderId="0" xfId="0" applyFont="1" applyFill="1" applyAlignment="1" applyProtection="1">
      <alignment vertical="center"/>
    </xf>
    <xf numFmtId="0" fontId="0" fillId="2" borderId="4" xfId="0" applyFill="1" applyBorder="1" applyAlignment="1">
      <alignment vertical="center"/>
    </xf>
    <xf numFmtId="0" fontId="8" fillId="2" borderId="0" xfId="0" applyFont="1" applyFill="1" applyBorder="1" applyAlignment="1">
      <alignment vertical="center"/>
    </xf>
    <xf numFmtId="0" fontId="0" fillId="2" borderId="0" xfId="0" applyFill="1" applyBorder="1" applyAlignment="1">
      <alignment vertical="center"/>
    </xf>
    <xf numFmtId="0" fontId="0" fillId="2" borderId="0" xfId="0" applyFill="1" applyAlignment="1" applyProtection="1">
      <alignment horizontal="center" vertical="center"/>
    </xf>
    <xf numFmtId="0" fontId="20" fillId="2" borderId="4" xfId="0" applyFont="1" applyFill="1" applyBorder="1" applyAlignment="1" applyProtection="1">
      <alignment horizontal="center" vertical="center"/>
    </xf>
    <xf numFmtId="0" fontId="20" fillId="2" borderId="5" xfId="0" applyFont="1" applyFill="1" applyBorder="1" applyAlignment="1" applyProtection="1">
      <alignment horizontal="center" vertical="center"/>
    </xf>
    <xf numFmtId="0" fontId="76" fillId="2" borderId="4" xfId="0" applyFont="1" applyFill="1" applyBorder="1" applyAlignment="1" applyProtection="1">
      <alignment horizontal="center" vertical="center"/>
    </xf>
    <xf numFmtId="0" fontId="76" fillId="4" borderId="96" xfId="0" applyFont="1" applyFill="1" applyBorder="1" applyAlignment="1" applyProtection="1">
      <alignment horizontal="center" vertical="center"/>
    </xf>
    <xf numFmtId="0" fontId="76" fillId="4" borderId="93" xfId="0" applyFont="1" applyFill="1" applyBorder="1" applyAlignment="1" applyProtection="1">
      <alignment horizontal="center" vertical="center"/>
    </xf>
    <xf numFmtId="0" fontId="76" fillId="4" borderId="97" xfId="0" applyFont="1" applyFill="1" applyBorder="1" applyAlignment="1" applyProtection="1">
      <alignment horizontal="center" vertical="center"/>
    </xf>
    <xf numFmtId="0" fontId="0" fillId="2" borderId="5" xfId="0" applyFill="1" applyBorder="1" applyAlignment="1" applyProtection="1">
      <alignment vertical="center"/>
    </xf>
    <xf numFmtId="0" fontId="0" fillId="2" borderId="98" xfId="0" applyFill="1" applyBorder="1" applyAlignment="1">
      <alignment vertical="center"/>
    </xf>
    <xf numFmtId="0" fontId="0" fillId="2" borderId="9" xfId="0" applyFill="1" applyBorder="1" applyAlignment="1">
      <alignment vertical="center"/>
    </xf>
    <xf numFmtId="0" fontId="0" fillId="2" borderId="99" xfId="0" applyFill="1" applyBorder="1" applyAlignment="1">
      <alignment vertical="center"/>
    </xf>
    <xf numFmtId="0" fontId="0" fillId="2" borderId="4" xfId="0" applyFill="1" applyBorder="1" applyAlignment="1" applyProtection="1">
      <alignment vertical="center"/>
    </xf>
    <xf numFmtId="0" fontId="3" fillId="2" borderId="4" xfId="0" applyFont="1" applyFill="1" applyBorder="1" applyAlignment="1" applyProtection="1">
      <alignment vertical="center"/>
    </xf>
    <xf numFmtId="0" fontId="6" fillId="4" borderId="100" xfId="0" applyFont="1" applyFill="1" applyBorder="1" applyAlignment="1" applyProtection="1">
      <alignment horizontal="center" vertical="center"/>
    </xf>
    <xf numFmtId="0" fontId="0" fillId="4" borderId="101" xfId="0" applyFill="1" applyBorder="1" applyAlignment="1" applyProtection="1">
      <alignment vertical="center"/>
    </xf>
    <xf numFmtId="0" fontId="0" fillId="2" borderId="4" xfId="0" applyFill="1" applyBorder="1" applyAlignment="1" applyProtection="1">
      <alignment vertical="center" wrapText="1"/>
    </xf>
    <xf numFmtId="0" fontId="44" fillId="12" borderId="102" xfId="0" applyFont="1" applyFill="1" applyBorder="1" applyAlignment="1">
      <alignment horizontal="center" vertical="center" wrapText="1"/>
    </xf>
    <xf numFmtId="0" fontId="62" fillId="2" borderId="0" xfId="0" applyFont="1" applyFill="1" applyAlignment="1" applyProtection="1">
      <alignment horizontal="right" vertical="center"/>
    </xf>
    <xf numFmtId="0" fontId="10" fillId="2" borderId="0" xfId="0" applyFont="1" applyFill="1" applyAlignment="1" applyProtection="1">
      <alignment horizontal="center" vertical="center"/>
    </xf>
    <xf numFmtId="0" fontId="78" fillId="16" borderId="102" xfId="0" applyFont="1" applyFill="1" applyBorder="1" applyAlignment="1">
      <alignment horizontal="center" vertical="center" wrapText="1"/>
    </xf>
    <xf numFmtId="0" fontId="70" fillId="2" borderId="0" xfId="0" applyFont="1" applyFill="1" applyBorder="1" applyAlignment="1">
      <alignment horizontal="left" vertical="center"/>
    </xf>
    <xf numFmtId="0" fontId="44" fillId="20" borderId="102" xfId="0" applyFont="1" applyFill="1" applyBorder="1" applyAlignment="1">
      <alignment horizontal="center" vertical="center" wrapText="1"/>
    </xf>
    <xf numFmtId="2" fontId="0" fillId="2" borderId="14" xfId="0" quotePrefix="1" applyNumberFormat="1" applyFill="1" applyBorder="1" applyAlignment="1">
      <alignment horizontal="left" vertical="center"/>
    </xf>
    <xf numFmtId="0" fontId="70" fillId="2" borderId="9" xfId="0" applyFont="1" applyFill="1" applyBorder="1" applyAlignment="1">
      <alignment horizontal="left" vertical="center"/>
    </xf>
    <xf numFmtId="0" fontId="0" fillId="2" borderId="9" xfId="0" applyFill="1" applyBorder="1" applyAlignment="1">
      <alignment horizontal="center" vertical="center"/>
    </xf>
    <xf numFmtId="0" fontId="0" fillId="2" borderId="6" xfId="0" applyFill="1" applyBorder="1" applyAlignment="1" applyProtection="1">
      <alignment vertical="center"/>
    </xf>
    <xf numFmtId="0" fontId="0" fillId="2" borderId="7" xfId="0" applyFill="1" applyBorder="1" applyAlignment="1" applyProtection="1">
      <alignment vertical="center"/>
    </xf>
    <xf numFmtId="0" fontId="0" fillId="2" borderId="8" xfId="0" applyFill="1" applyBorder="1" applyAlignment="1" applyProtection="1">
      <alignment vertical="center"/>
    </xf>
    <xf numFmtId="0" fontId="78" fillId="19" borderId="102" xfId="0" applyFont="1" applyFill="1" applyBorder="1" applyAlignment="1">
      <alignment horizontal="center" vertical="center" wrapText="1"/>
    </xf>
    <xf numFmtId="0" fontId="0" fillId="2" borderId="0" xfId="0" applyFill="1" applyBorder="1" applyAlignment="1">
      <alignment horizontal="center" vertical="center"/>
    </xf>
    <xf numFmtId="0" fontId="78" fillId="22" borderId="102" xfId="0" applyFont="1" applyFill="1" applyBorder="1" applyAlignment="1">
      <alignment horizontal="center" vertical="center" wrapText="1"/>
    </xf>
    <xf numFmtId="0" fontId="78" fillId="10" borderId="102" xfId="0" applyFont="1" applyFill="1" applyBorder="1" applyAlignment="1">
      <alignment horizontal="center" vertical="center" wrapText="1"/>
    </xf>
    <xf numFmtId="0" fontId="0" fillId="2" borderId="0" xfId="0" applyFill="1" applyBorder="1" applyAlignment="1" applyProtection="1">
      <alignment vertical="center"/>
    </xf>
    <xf numFmtId="0" fontId="44" fillId="9" borderId="102" xfId="0" applyFont="1" applyFill="1" applyBorder="1" applyAlignment="1">
      <alignment horizontal="center" vertical="center" wrapText="1"/>
    </xf>
    <xf numFmtId="0" fontId="44" fillId="13" borderId="103" xfId="0" applyFont="1" applyFill="1" applyBorder="1" applyAlignment="1">
      <alignment horizontal="center" vertical="center" wrapText="1"/>
    </xf>
    <xf numFmtId="0" fontId="0" fillId="4" borderId="0" xfId="0" applyFill="1" applyBorder="1" applyAlignment="1" applyProtection="1">
      <alignment vertical="center"/>
    </xf>
    <xf numFmtId="9" fontId="0" fillId="2" borderId="14" xfId="3" applyFont="1" applyFill="1" applyBorder="1" applyAlignment="1" applyProtection="1">
      <alignment horizontal="center" vertical="center"/>
    </xf>
    <xf numFmtId="0" fontId="62" fillId="2" borderId="0" xfId="0" quotePrefix="1" applyFont="1" applyFill="1" applyBorder="1" applyAlignment="1">
      <alignment horizontal="right" vertical="center"/>
    </xf>
    <xf numFmtId="0" fontId="74" fillId="21" borderId="15" xfId="4" applyFont="1" applyFill="1" applyBorder="1" applyAlignment="1">
      <alignment horizontal="center" vertical="center" wrapText="1"/>
    </xf>
    <xf numFmtId="0" fontId="74" fillId="21" borderId="95" xfId="4" applyFont="1" applyFill="1" applyBorder="1" applyAlignment="1">
      <alignment horizontal="center" vertical="center" wrapText="1"/>
    </xf>
    <xf numFmtId="0" fontId="74" fillId="21" borderId="16" xfId="4" applyFont="1" applyFill="1" applyBorder="1" applyAlignment="1">
      <alignment horizontal="center" vertical="center" wrapText="1"/>
    </xf>
    <xf numFmtId="0" fontId="14" fillId="2" borderId="0" xfId="0" applyFont="1" applyFill="1" applyBorder="1" applyAlignment="1">
      <alignment horizontal="left" vertical="center" indent="5"/>
    </xf>
    <xf numFmtId="0" fontId="0" fillId="2" borderId="14" xfId="0" applyFill="1" applyBorder="1" applyAlignment="1">
      <alignment horizontal="left" vertical="center" indent="3"/>
    </xf>
    <xf numFmtId="0" fontId="0" fillId="2" borderId="15" xfId="0" applyFill="1" applyBorder="1" applyAlignment="1">
      <alignment horizontal="left" vertical="center"/>
    </xf>
    <xf numFmtId="0" fontId="0" fillId="2" borderId="95" xfId="0" applyFill="1" applyBorder="1" applyAlignment="1">
      <alignment horizontal="left" vertical="center"/>
    </xf>
    <xf numFmtId="0" fontId="0" fillId="2" borderId="16" xfId="0" applyFill="1" applyBorder="1" applyAlignment="1">
      <alignment horizontal="left" vertical="center"/>
    </xf>
    <xf numFmtId="0" fontId="22" fillId="2" borderId="0" xfId="0" applyFont="1" applyFill="1" applyAlignment="1" applyProtection="1">
      <alignment horizontal="center"/>
    </xf>
    <xf numFmtId="0" fontId="0" fillId="2" borderId="95" xfId="0" applyFill="1" applyBorder="1" applyAlignment="1">
      <alignment horizontal="left" vertical="center" indent="3"/>
    </xf>
    <xf numFmtId="0" fontId="0" fillId="2" borderId="16" xfId="0" applyFill="1" applyBorder="1" applyAlignment="1">
      <alignment horizontal="left" vertical="center" indent="3"/>
    </xf>
    <xf numFmtId="9" fontId="0" fillId="2" borderId="0" xfId="3" applyNumberFormat="1" applyFont="1" applyFill="1" applyBorder="1" applyAlignment="1" applyProtection="1">
      <alignment horizontal="center" vertical="center"/>
    </xf>
    <xf numFmtId="0" fontId="0" fillId="4" borderId="104" xfId="0" applyFill="1" applyBorder="1" applyAlignment="1" applyProtection="1">
      <alignment vertical="center" wrapText="1"/>
    </xf>
    <xf numFmtId="0" fontId="0" fillId="4" borderId="9" xfId="0" applyFill="1" applyBorder="1" applyAlignment="1" applyProtection="1">
      <alignment vertical="center"/>
    </xf>
    <xf numFmtId="0" fontId="0" fillId="4" borderId="105" xfId="0" applyFill="1" applyBorder="1" applyAlignment="1" applyProtection="1">
      <alignment vertical="center"/>
    </xf>
    <xf numFmtId="0" fontId="0" fillId="2" borderId="6" xfId="0" applyFill="1" applyBorder="1" applyAlignment="1" applyProtection="1">
      <alignment vertical="center" wrapText="1"/>
    </xf>
    <xf numFmtId="0" fontId="0" fillId="2" borderId="7" xfId="0" applyFill="1" applyBorder="1" applyAlignment="1" applyProtection="1">
      <alignment vertical="center" wrapText="1"/>
    </xf>
    <xf numFmtId="0" fontId="40" fillId="2" borderId="14" xfId="0" applyFont="1" applyFill="1" applyBorder="1" applyAlignment="1">
      <alignment horizontal="left" vertical="center" wrapText="1" indent="3"/>
    </xf>
    <xf numFmtId="0" fontId="40" fillId="2" borderId="14" xfId="0" applyFont="1" applyFill="1" applyBorder="1" applyAlignment="1">
      <alignment horizontal="center" vertical="center" wrapText="1"/>
    </xf>
    <xf numFmtId="9" fontId="0" fillId="2" borderId="14" xfId="3" applyFont="1" applyFill="1" applyBorder="1" applyAlignment="1">
      <alignment horizontal="center"/>
    </xf>
    <xf numFmtId="0" fontId="0" fillId="2" borderId="4" xfId="0" applyFill="1" applyBorder="1" applyAlignment="1">
      <alignment vertical="center" wrapText="1"/>
    </xf>
    <xf numFmtId="0" fontId="0" fillId="2" borderId="5" xfId="0" applyFill="1" applyBorder="1" applyAlignment="1">
      <alignment vertical="center" wrapText="1"/>
    </xf>
    <xf numFmtId="0" fontId="3" fillId="2" borderId="0" xfId="0" applyFont="1" applyFill="1" applyAlignment="1" applyProtection="1">
      <alignment horizontal="center" vertical="top"/>
    </xf>
    <xf numFmtId="0" fontId="0" fillId="2" borderId="4" xfId="0" applyFont="1" applyFill="1" applyBorder="1" applyAlignment="1" applyProtection="1">
      <alignment vertical="center" wrapText="1"/>
    </xf>
    <xf numFmtId="0" fontId="0" fillId="2" borderId="6" xfId="0" applyFill="1" applyBorder="1" applyAlignment="1">
      <alignment vertical="center"/>
    </xf>
    <xf numFmtId="0" fontId="0" fillId="2" borderId="7" xfId="0" applyFill="1" applyBorder="1" applyAlignment="1">
      <alignment vertical="center"/>
    </xf>
    <xf numFmtId="0" fontId="0" fillId="2" borderId="6" xfId="0" applyFill="1" applyBorder="1" applyAlignment="1">
      <alignment vertical="center" wrapText="1"/>
    </xf>
    <xf numFmtId="0" fontId="0" fillId="2" borderId="7" xfId="0" applyFill="1" applyBorder="1" applyAlignment="1">
      <alignment vertical="center" wrapText="1"/>
    </xf>
    <xf numFmtId="0" fontId="0" fillId="2" borderId="8" xfId="0" applyFill="1" applyBorder="1" applyAlignment="1">
      <alignment vertical="center" wrapText="1"/>
    </xf>
    <xf numFmtId="0" fontId="0" fillId="2" borderId="14" xfId="0" applyFill="1" applyBorder="1" applyAlignment="1">
      <alignment horizontal="left" vertical="center"/>
    </xf>
    <xf numFmtId="0" fontId="0" fillId="0" borderId="0" xfId="0" applyAlignment="1" applyProtection="1">
      <alignment horizontal="center" vertical="center"/>
    </xf>
    <xf numFmtId="0" fontId="0" fillId="2" borderId="14" xfId="0" applyFill="1" applyBorder="1" applyAlignment="1">
      <alignment horizontal="left" vertical="center" indent="2"/>
    </xf>
    <xf numFmtId="9" fontId="0" fillId="2" borderId="15" xfId="3" applyFont="1" applyFill="1" applyBorder="1" applyAlignment="1">
      <alignment horizontal="left"/>
    </xf>
    <xf numFmtId="9" fontId="0" fillId="2" borderId="95" xfId="3" applyFont="1" applyFill="1" applyBorder="1" applyAlignment="1">
      <alignment horizontal="left"/>
    </xf>
    <xf numFmtId="9" fontId="0" fillId="2" borderId="16" xfId="3" applyFont="1" applyFill="1" applyBorder="1" applyAlignment="1">
      <alignment horizontal="left"/>
    </xf>
    <xf numFmtId="2" fontId="38" fillId="8" borderId="14" xfId="0" applyNumberFormat="1" applyFont="1" applyFill="1" applyBorder="1" applyAlignment="1" applyProtection="1">
      <alignment horizontal="center"/>
      <protection locked="0"/>
    </xf>
    <xf numFmtId="2" fontId="38" fillId="10" borderId="14" xfId="0" applyNumberFormat="1" applyFont="1" applyFill="1" applyBorder="1" applyAlignment="1" applyProtection="1">
      <alignment horizontal="center"/>
      <protection locked="0"/>
    </xf>
    <xf numFmtId="0" fontId="91" fillId="2" borderId="5" xfId="0" applyFont="1" applyFill="1" applyBorder="1" applyAlignment="1">
      <alignment horizontal="left" vertical="center"/>
    </xf>
    <xf numFmtId="0" fontId="0" fillId="2" borderId="14" xfId="0"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9" fontId="0" fillId="2" borderId="14" xfId="3" applyNumberFormat="1" applyFont="1" applyFill="1" applyBorder="1" applyAlignment="1" applyProtection="1">
      <alignment horizontal="center" vertical="center"/>
      <protection locked="0"/>
    </xf>
    <xf numFmtId="9" fontId="0" fillId="2" borderId="14" xfId="3" applyFont="1" applyFill="1" applyBorder="1" applyAlignment="1" applyProtection="1">
      <alignment horizontal="center" vertical="center"/>
      <protection locked="0"/>
    </xf>
    <xf numFmtId="0" fontId="74" fillId="21" borderId="14" xfId="4" applyFont="1" applyFill="1" applyBorder="1" applyAlignment="1">
      <alignment horizontal="center" vertical="center" wrapText="1"/>
    </xf>
    <xf numFmtId="0" fontId="3" fillId="2" borderId="0" xfId="0" applyFont="1" applyFill="1" applyBorder="1" applyAlignment="1">
      <alignment horizontal="center" vertical="center" wrapText="1"/>
    </xf>
    <xf numFmtId="0" fontId="33" fillId="0" borderId="0" xfId="0" applyFont="1" applyAlignment="1">
      <alignment horizontal="center"/>
    </xf>
    <xf numFmtId="0" fontId="0" fillId="0" borderId="0" xfId="0" applyFill="1" applyAlignment="1" applyProtection="1">
      <alignment vertical="center"/>
    </xf>
    <xf numFmtId="0" fontId="14" fillId="2" borderId="0" xfId="0" applyFont="1" applyFill="1" applyBorder="1" applyAlignment="1">
      <alignment horizontal="left" vertical="center" indent="4"/>
    </xf>
    <xf numFmtId="0" fontId="14" fillId="2" borderId="0" xfId="0" applyFont="1" applyFill="1" applyBorder="1" applyAlignment="1">
      <alignment horizontal="left" vertical="center" indent="2"/>
    </xf>
    <xf numFmtId="0" fontId="10" fillId="3" borderId="14" xfId="0" applyFont="1" applyFill="1" applyBorder="1" applyAlignment="1" applyProtection="1">
      <alignment horizontal="center" vertical="center"/>
      <protection locked="0"/>
    </xf>
    <xf numFmtId="0" fontId="40" fillId="2" borderId="22" xfId="0" applyFont="1" applyFill="1" applyBorder="1" applyAlignment="1">
      <alignment horizontal="left" vertical="center" wrapText="1"/>
    </xf>
    <xf numFmtId="0" fontId="40" fillId="2" borderId="14" xfId="0" applyFont="1" applyFill="1" applyBorder="1" applyAlignment="1">
      <alignment horizontal="left" vertical="center" wrapText="1"/>
    </xf>
    <xf numFmtId="0" fontId="94" fillId="2" borderId="14" xfId="0" applyFont="1" applyFill="1" applyBorder="1" applyAlignment="1">
      <alignment horizontal="left" vertical="center" wrapText="1"/>
    </xf>
    <xf numFmtId="0" fontId="75" fillId="2" borderId="1" xfId="0" applyFont="1" applyFill="1" applyBorder="1" applyAlignment="1" applyProtection="1">
      <alignment vertical="center"/>
    </xf>
    <xf numFmtId="0" fontId="75" fillId="2" borderId="3" xfId="0" applyFont="1" applyFill="1" applyBorder="1" applyAlignment="1" applyProtection="1">
      <alignment vertical="center"/>
    </xf>
    <xf numFmtId="0" fontId="75" fillId="2" borderId="4" xfId="0" applyFont="1" applyFill="1" applyBorder="1" applyAlignment="1" applyProtection="1">
      <alignment vertical="center"/>
    </xf>
    <xf numFmtId="0" fontId="75" fillId="2" borderId="5" xfId="0" applyFont="1" applyFill="1" applyBorder="1" applyAlignment="1" applyProtection="1">
      <alignment vertical="center"/>
    </xf>
    <xf numFmtId="0" fontId="50" fillId="2" borderId="1" xfId="0" applyFont="1" applyFill="1" applyBorder="1" applyAlignment="1">
      <alignment horizontal="center" vertical="center"/>
    </xf>
    <xf numFmtId="0" fontId="50" fillId="2" borderId="112" xfId="0" applyFont="1" applyFill="1" applyBorder="1" applyAlignment="1">
      <alignment horizontal="center" vertical="center"/>
    </xf>
    <xf numFmtId="0" fontId="43" fillId="14" borderId="113" xfId="0" applyFont="1" applyFill="1" applyBorder="1" applyAlignment="1" applyProtection="1">
      <alignment horizontal="center" vertical="center"/>
      <protection locked="0"/>
    </xf>
    <xf numFmtId="0" fontId="108" fillId="14" borderId="110" xfId="0" applyFont="1" applyFill="1" applyBorder="1" applyAlignment="1" applyProtection="1">
      <alignment horizontal="center" vertical="center"/>
      <protection locked="0"/>
    </xf>
    <xf numFmtId="0" fontId="62" fillId="2" borderId="9" xfId="0" applyFont="1" applyFill="1" applyBorder="1" applyAlignment="1">
      <alignment vertical="center"/>
    </xf>
    <xf numFmtId="0" fontId="14" fillId="2" borderId="0" xfId="0" applyFont="1" applyFill="1" applyBorder="1" applyAlignment="1">
      <alignment vertical="center"/>
    </xf>
    <xf numFmtId="0" fontId="17" fillId="2" borderId="0" xfId="0" applyFont="1" applyFill="1" applyBorder="1" applyAlignment="1">
      <alignment horizontal="left" vertical="center" indent="4"/>
    </xf>
    <xf numFmtId="0" fontId="112" fillId="2" borderId="0" xfId="0" applyFont="1" applyFill="1" applyBorder="1" applyAlignment="1"/>
    <xf numFmtId="0" fontId="112" fillId="2" borderId="0" xfId="0" applyFont="1" applyFill="1" applyBorder="1" applyAlignment="1">
      <alignment horizontal="left" vertical="center" indent="1"/>
    </xf>
    <xf numFmtId="0" fontId="114" fillId="2" borderId="9" xfId="0" applyFont="1" applyFill="1" applyBorder="1" applyAlignment="1">
      <alignment horizontal="right" vertical="center"/>
    </xf>
    <xf numFmtId="0" fontId="115" fillId="2" borderId="0" xfId="0" applyFont="1" applyFill="1" applyBorder="1" applyAlignment="1">
      <alignment vertical="center"/>
    </xf>
    <xf numFmtId="0" fontId="22" fillId="2" borderId="0" xfId="0" applyFont="1" applyFill="1" applyBorder="1" applyAlignment="1" applyProtection="1">
      <alignment horizontal="left" vertical="center"/>
    </xf>
    <xf numFmtId="0" fontId="40" fillId="2" borderId="22" xfId="0" applyFont="1" applyFill="1" applyBorder="1" applyAlignment="1">
      <alignment horizontal="center" vertical="center"/>
    </xf>
    <xf numFmtId="0" fontId="40" fillId="2" borderId="18" xfId="0" applyFont="1" applyFill="1" applyBorder="1" applyAlignment="1">
      <alignment horizontal="center" vertical="center"/>
    </xf>
    <xf numFmtId="0" fontId="112" fillId="2" borderId="0" xfId="0" applyFont="1" applyFill="1" applyBorder="1" applyAlignment="1">
      <alignment horizontal="left" vertical="center" indent="5"/>
    </xf>
    <xf numFmtId="170" fontId="0" fillId="2" borderId="14" xfId="3" applyNumberFormat="1" applyFont="1" applyFill="1" applyBorder="1" applyAlignment="1">
      <alignment horizontal="center"/>
    </xf>
    <xf numFmtId="0" fontId="0" fillId="6" borderId="14" xfId="0" applyFill="1" applyBorder="1" applyAlignment="1">
      <alignment horizontal="center" vertical="center"/>
    </xf>
    <xf numFmtId="170" fontId="0" fillId="6" borderId="14" xfId="3" applyNumberFormat="1" applyFont="1" applyFill="1" applyBorder="1" applyAlignment="1">
      <alignment horizontal="center" vertical="center"/>
    </xf>
    <xf numFmtId="0" fontId="39" fillId="2" borderId="14" xfId="0" applyFont="1" applyFill="1" applyBorder="1" applyAlignment="1">
      <alignment horizontal="center"/>
    </xf>
    <xf numFmtId="0" fontId="38" fillId="2" borderId="14" xfId="0" applyFont="1" applyFill="1" applyBorder="1" applyAlignment="1">
      <alignment horizontal="center"/>
    </xf>
    <xf numFmtId="0" fontId="38" fillId="2" borderId="14" xfId="0" applyFont="1" applyFill="1" applyBorder="1" applyAlignment="1">
      <alignment horizontal="left"/>
    </xf>
    <xf numFmtId="0" fontId="67" fillId="7" borderId="0" xfId="0" applyFont="1" applyFill="1" applyAlignment="1">
      <alignment vertical="center"/>
    </xf>
    <xf numFmtId="0" fontId="66" fillId="7" borderId="0" xfId="0" applyFont="1" applyFill="1" applyAlignment="1">
      <alignment horizontal="center"/>
    </xf>
    <xf numFmtId="0" fontId="66" fillId="7" borderId="59" xfId="0" applyFont="1" applyFill="1" applyBorder="1" applyAlignment="1">
      <alignment horizontal="center"/>
    </xf>
    <xf numFmtId="0" fontId="66" fillId="7" borderId="0" xfId="0" applyFont="1" applyFill="1" applyAlignment="1"/>
    <xf numFmtId="0" fontId="38" fillId="7" borderId="0" xfId="0" applyFont="1" applyFill="1" applyAlignment="1">
      <alignment horizontal="center"/>
    </xf>
    <xf numFmtId="0" fontId="66" fillId="7" borderId="0" xfId="0" applyFont="1" applyFill="1"/>
    <xf numFmtId="0" fontId="38" fillId="2" borderId="16" xfId="0" applyFont="1" applyFill="1" applyBorder="1" applyAlignment="1">
      <alignment horizontal="center"/>
    </xf>
    <xf numFmtId="0" fontId="38" fillId="2" borderId="59" xfId="0" applyFont="1" applyFill="1" applyBorder="1" applyAlignment="1">
      <alignment horizontal="center"/>
    </xf>
    <xf numFmtId="0" fontId="66" fillId="2" borderId="0" xfId="0" applyFont="1" applyFill="1" applyBorder="1" applyAlignment="1">
      <alignment horizontal="center"/>
    </xf>
    <xf numFmtId="0" fontId="38" fillId="7" borderId="0" xfId="0" applyFont="1" applyFill="1"/>
    <xf numFmtId="0" fontId="38" fillId="2" borderId="0" xfId="0" applyFont="1" applyFill="1"/>
    <xf numFmtId="0" fontId="116" fillId="2" borderId="14" xfId="0" applyFont="1" applyFill="1" applyBorder="1" applyAlignment="1">
      <alignment horizontal="left" vertical="center"/>
    </xf>
    <xf numFmtId="0" fontId="38" fillId="2" borderId="0" xfId="0" applyFont="1" applyFill="1" applyAlignment="1">
      <alignment horizontal="left"/>
    </xf>
    <xf numFmtId="0" fontId="66" fillId="2" borderId="0" xfId="0" applyFont="1" applyFill="1" applyAlignment="1">
      <alignment horizontal="left"/>
    </xf>
    <xf numFmtId="0" fontId="67" fillId="2" borderId="0" xfId="0" applyFont="1" applyFill="1" applyAlignment="1">
      <alignment horizontal="center"/>
    </xf>
    <xf numFmtId="0" fontId="38" fillId="2" borderId="0" xfId="0" quotePrefix="1" applyFont="1" applyFill="1"/>
    <xf numFmtId="0" fontId="38" fillId="7" borderId="0" xfId="0" applyFont="1" applyFill="1" applyAlignment="1">
      <alignment horizontal="left"/>
    </xf>
    <xf numFmtId="0" fontId="66" fillId="7" borderId="0" xfId="0" applyFont="1" applyFill="1" applyAlignment="1">
      <alignment horizontal="left"/>
    </xf>
    <xf numFmtId="0" fontId="66" fillId="0" borderId="0" xfId="0" applyFont="1" applyFill="1" applyBorder="1"/>
    <xf numFmtId="0" fontId="38" fillId="0" borderId="0" xfId="0" applyFont="1" applyFill="1" applyBorder="1"/>
    <xf numFmtId="0" fontId="66" fillId="0" borderId="0" xfId="0" applyFont="1" applyFill="1" applyBorder="1" applyAlignment="1">
      <alignment horizontal="center"/>
    </xf>
    <xf numFmtId="0" fontId="66" fillId="0" borderId="0" xfId="0" applyFont="1" applyFill="1" applyBorder="1" applyAlignment="1">
      <alignment horizontal="left"/>
    </xf>
    <xf numFmtId="0" fontId="38" fillId="0" borderId="0" xfId="0" applyFont="1" applyFill="1" applyBorder="1" applyAlignment="1">
      <alignment horizontal="center"/>
    </xf>
    <xf numFmtId="0" fontId="0" fillId="0" borderId="0" xfId="0" applyBorder="1"/>
    <xf numFmtId="0" fontId="94" fillId="2" borderId="15" xfId="0" applyFont="1" applyFill="1" applyBorder="1" applyAlignment="1">
      <alignment horizontal="center" vertical="center"/>
    </xf>
    <xf numFmtId="2" fontId="3" fillId="23" borderId="14" xfId="0" applyNumberFormat="1" applyFont="1" applyFill="1" applyBorder="1" applyAlignment="1">
      <alignment horizontal="center" vertical="center"/>
    </xf>
    <xf numFmtId="1" fontId="3" fillId="23" borderId="14" xfId="0" applyNumberFormat="1" applyFont="1" applyFill="1" applyBorder="1" applyAlignment="1">
      <alignment horizontal="center" vertical="center"/>
    </xf>
    <xf numFmtId="2" fontId="117" fillId="2" borderId="14" xfId="0" quotePrefix="1" applyNumberFormat="1" applyFont="1" applyFill="1" applyBorder="1" applyAlignment="1">
      <alignment horizontal="center" vertical="center"/>
    </xf>
    <xf numFmtId="1" fontId="117" fillId="2" borderId="14" xfId="0" quotePrefix="1" applyNumberFormat="1" applyFont="1" applyFill="1" applyBorder="1" applyAlignment="1">
      <alignment horizontal="center" vertical="center"/>
    </xf>
    <xf numFmtId="0" fontId="3" fillId="4" borderId="21" xfId="0" applyFont="1" applyFill="1" applyBorder="1" applyAlignment="1" applyProtection="1">
      <alignment horizontal="center" wrapText="1"/>
    </xf>
    <xf numFmtId="0" fontId="3" fillId="4" borderId="21" xfId="0" applyFont="1" applyFill="1" applyBorder="1" applyAlignment="1" applyProtection="1">
      <alignment horizontal="center"/>
    </xf>
    <xf numFmtId="0" fontId="14" fillId="2" borderId="0" xfId="0" applyFont="1" applyFill="1" applyBorder="1" applyAlignment="1">
      <alignment horizontal="left" vertical="center" indent="8"/>
    </xf>
    <xf numFmtId="0" fontId="66" fillId="2" borderId="14" xfId="0" applyFont="1" applyFill="1" applyBorder="1" applyAlignment="1" applyProtection="1">
      <alignment horizontal="center"/>
      <protection locked="0"/>
    </xf>
    <xf numFmtId="0" fontId="119" fillId="2" borderId="14" xfId="4" applyFont="1" applyFill="1" applyBorder="1" applyAlignment="1">
      <alignment horizontal="center" vertical="center" wrapText="1"/>
    </xf>
    <xf numFmtId="1" fontId="23" fillId="2" borderId="14" xfId="0" applyNumberFormat="1" applyFont="1" applyFill="1" applyBorder="1" applyAlignment="1">
      <alignment horizontal="center" vertical="center"/>
    </xf>
    <xf numFmtId="0" fontId="23" fillId="2" borderId="14" xfId="0" applyFont="1" applyFill="1" applyBorder="1" applyAlignment="1">
      <alignment horizontal="center" vertical="center"/>
    </xf>
    <xf numFmtId="2" fontId="23" fillId="2" borderId="14" xfId="0" applyNumberFormat="1" applyFont="1" applyFill="1" applyBorder="1" applyAlignment="1">
      <alignment horizontal="center" vertical="center"/>
    </xf>
    <xf numFmtId="0" fontId="29" fillId="2" borderId="32" xfId="0" applyFont="1" applyFill="1" applyBorder="1" applyAlignment="1" applyProtection="1">
      <alignment horizontal="center" vertical="center"/>
    </xf>
    <xf numFmtId="0" fontId="29" fillId="2" borderId="33" xfId="0" applyFont="1" applyFill="1" applyBorder="1" applyAlignment="1" applyProtection="1">
      <alignment horizontal="center" vertical="center"/>
    </xf>
    <xf numFmtId="0" fontId="29" fillId="6" borderId="25" xfId="0" applyFont="1" applyFill="1" applyBorder="1" applyAlignment="1" applyProtection="1">
      <alignment horizontal="center" vertical="center"/>
    </xf>
    <xf numFmtId="0" fontId="29" fillId="6" borderId="27" xfId="0" applyFont="1" applyFill="1" applyBorder="1" applyAlignment="1" applyProtection="1">
      <alignment horizontal="center" vertical="center"/>
    </xf>
    <xf numFmtId="0" fontId="29" fillId="2" borderId="25" xfId="0" applyFont="1" applyFill="1" applyBorder="1" applyAlignment="1" applyProtection="1">
      <alignment horizontal="center" vertical="center"/>
    </xf>
    <xf numFmtId="0" fontId="29" fillId="2" borderId="27" xfId="0" applyFont="1" applyFill="1" applyBorder="1" applyAlignment="1" applyProtection="1">
      <alignment horizontal="center" vertical="center"/>
    </xf>
    <xf numFmtId="0" fontId="29" fillId="6" borderId="46" xfId="0" applyFont="1" applyFill="1" applyBorder="1" applyAlignment="1" applyProtection="1">
      <alignment horizontal="center" vertical="center"/>
    </xf>
    <xf numFmtId="0" fontId="29" fillId="6" borderId="47" xfId="0" applyFont="1" applyFill="1" applyBorder="1" applyAlignment="1" applyProtection="1">
      <alignment horizontal="center" vertical="center"/>
    </xf>
    <xf numFmtId="0" fontId="120" fillId="2" borderId="5" xfId="0" applyFont="1" applyFill="1" applyBorder="1" applyAlignment="1">
      <alignment vertical="center"/>
    </xf>
    <xf numFmtId="0" fontId="66" fillId="3" borderId="10" xfId="0" applyFont="1" applyFill="1" applyBorder="1" applyAlignment="1" applyProtection="1">
      <alignment horizontal="center"/>
      <protection locked="0"/>
    </xf>
    <xf numFmtId="0" fontId="67" fillId="2" borderId="0" xfId="0" applyFont="1" applyFill="1" applyBorder="1" applyAlignment="1">
      <alignment horizontal="center" vertical="center" wrapText="1"/>
    </xf>
    <xf numFmtId="0" fontId="67" fillId="2" borderId="13" xfId="0" applyFont="1" applyFill="1" applyBorder="1" applyAlignment="1">
      <alignment horizontal="center" vertical="center" wrapText="1"/>
    </xf>
    <xf numFmtId="0" fontId="66" fillId="2" borderId="0" xfId="0" applyFont="1" applyFill="1" applyBorder="1"/>
    <xf numFmtId="0" fontId="66" fillId="2" borderId="4" xfId="0" applyFont="1" applyFill="1" applyBorder="1"/>
    <xf numFmtId="0" fontId="109" fillId="2" borderId="0" xfId="0" applyFont="1" applyFill="1" applyBorder="1" applyAlignment="1">
      <alignment horizontal="center" wrapText="1"/>
    </xf>
    <xf numFmtId="0" fontId="8" fillId="2" borderId="9" xfId="0" applyFont="1" applyFill="1" applyBorder="1" applyAlignment="1">
      <alignment horizontal="left" indent="3"/>
    </xf>
    <xf numFmtId="0" fontId="8" fillId="2" borderId="0" xfId="0" applyFont="1" applyFill="1" applyBorder="1" applyAlignment="1">
      <alignment horizontal="left" indent="3"/>
    </xf>
    <xf numFmtId="0" fontId="0" fillId="2" borderId="0" xfId="0" applyFill="1" applyBorder="1" applyAlignment="1">
      <alignment horizontal="left"/>
    </xf>
    <xf numFmtId="0" fontId="14" fillId="2" borderId="0" xfId="0" applyFont="1" applyFill="1" applyBorder="1" applyAlignment="1">
      <alignment horizontal="left" indent="1"/>
    </xf>
    <xf numFmtId="0" fontId="37" fillId="2" borderId="0" xfId="0" applyFont="1" applyFill="1" applyBorder="1" applyAlignment="1">
      <alignment horizontal="left" indent="1"/>
    </xf>
    <xf numFmtId="0" fontId="66" fillId="2" borderId="14" xfId="0" applyFont="1" applyFill="1" applyBorder="1" applyAlignment="1">
      <alignment horizontal="center" vertical="center" wrapText="1"/>
    </xf>
    <xf numFmtId="0" fontId="37" fillId="2" borderId="0" xfId="0" applyFont="1" applyFill="1" applyBorder="1" applyAlignment="1">
      <alignment horizontal="right"/>
    </xf>
    <xf numFmtId="0" fontId="8" fillId="2" borderId="9" xfId="0" applyFont="1" applyFill="1" applyBorder="1" applyAlignment="1" applyProtection="1">
      <alignment horizontal="left" indent="3"/>
    </xf>
    <xf numFmtId="0" fontId="8" fillId="2" borderId="0" xfId="0" applyFont="1" applyFill="1" applyBorder="1" applyAlignment="1" applyProtection="1">
      <alignment horizontal="left" indent="3"/>
    </xf>
    <xf numFmtId="0" fontId="14" fillId="2" borderId="0" xfId="0" applyFont="1" applyFill="1" applyBorder="1" applyAlignment="1" applyProtection="1">
      <alignment horizontal="left" indent="1"/>
    </xf>
    <xf numFmtId="0" fontId="37" fillId="2" borderId="0" xfId="0" applyFont="1" applyFill="1" applyBorder="1" applyAlignment="1" applyProtection="1">
      <alignment horizontal="left" indent="1"/>
    </xf>
    <xf numFmtId="0" fontId="66" fillId="2" borderId="14" xfId="0" applyFont="1" applyFill="1" applyBorder="1" applyAlignment="1" applyProtection="1">
      <alignment horizontal="center" vertical="center" wrapText="1"/>
    </xf>
    <xf numFmtId="0" fontId="63" fillId="7" borderId="127" xfId="0" applyFont="1" applyFill="1" applyBorder="1" applyAlignment="1">
      <alignment horizontal="center" vertical="center" wrapText="1"/>
    </xf>
    <xf numFmtId="0" fontId="63" fillId="7" borderId="128" xfId="0" applyFont="1" applyFill="1" applyBorder="1" applyAlignment="1">
      <alignment horizontal="center" vertical="center" wrapText="1"/>
    </xf>
    <xf numFmtId="0" fontId="63" fillId="7" borderId="129" xfId="0" applyFont="1" applyFill="1" applyBorder="1" applyAlignment="1">
      <alignment horizontal="center" vertical="center" wrapText="1"/>
    </xf>
    <xf numFmtId="0" fontId="63" fillId="7" borderId="130" xfId="0" applyFont="1" applyFill="1" applyBorder="1" applyAlignment="1">
      <alignment horizontal="center" vertical="center" wrapText="1"/>
    </xf>
    <xf numFmtId="0" fontId="63" fillId="7" borderId="131" xfId="0" applyFont="1" applyFill="1" applyBorder="1" applyAlignment="1">
      <alignment horizontal="center" vertical="center" wrapText="1"/>
    </xf>
    <xf numFmtId="0" fontId="63" fillId="7" borderId="132" xfId="0" applyFont="1" applyFill="1" applyBorder="1" applyAlignment="1">
      <alignment horizontal="center" vertical="center" wrapText="1"/>
    </xf>
    <xf numFmtId="0" fontId="10" fillId="2" borderId="0" xfId="0" quotePrefix="1" applyFont="1" applyFill="1" applyBorder="1" applyAlignment="1">
      <alignment horizontal="left" vertical="center" indent="1"/>
    </xf>
    <xf numFmtId="0" fontId="10" fillId="2" borderId="0" xfId="0" applyFont="1" applyFill="1" applyBorder="1" applyAlignment="1">
      <alignment horizontal="left" vertical="center" indent="1"/>
    </xf>
    <xf numFmtId="0" fontId="10" fillId="2" borderId="5" xfId="0" applyFont="1" applyFill="1" applyBorder="1" applyAlignment="1">
      <alignment horizontal="left" vertical="center" indent="1"/>
    </xf>
    <xf numFmtId="0" fontId="59" fillId="2" borderId="0" xfId="0" applyFont="1" applyFill="1" applyBorder="1" applyAlignment="1">
      <alignment horizontal="left" vertical="center" indent="8"/>
    </xf>
    <xf numFmtId="0" fontId="59" fillId="2" borderId="5" xfId="0" applyFont="1" applyFill="1" applyBorder="1" applyAlignment="1">
      <alignment horizontal="left" vertical="center" indent="8"/>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5" xfId="0" applyFont="1" applyFill="1" applyBorder="1" applyAlignment="1">
      <alignment horizontal="center" vertical="center"/>
    </xf>
    <xf numFmtId="0" fontId="57" fillId="2" borderId="0" xfId="0" applyFont="1" applyFill="1" applyBorder="1" applyAlignment="1">
      <alignment horizontal="left" vertical="center" indent="1"/>
    </xf>
    <xf numFmtId="0" fontId="57" fillId="2" borderId="5" xfId="0" applyFont="1" applyFill="1" applyBorder="1" applyAlignment="1">
      <alignment horizontal="left" vertical="center" indent="1"/>
    </xf>
    <xf numFmtId="0" fontId="61" fillId="2" borderId="4" xfId="0" applyFont="1" applyFill="1" applyBorder="1" applyAlignment="1">
      <alignment horizontal="center" vertical="center"/>
    </xf>
    <xf numFmtId="0" fontId="61" fillId="2" borderId="5" xfId="0" applyFont="1" applyFill="1" applyBorder="1" applyAlignment="1">
      <alignment horizontal="center" vertical="center"/>
    </xf>
    <xf numFmtId="0" fontId="59" fillId="2" borderId="5" xfId="0" applyFont="1" applyFill="1" applyBorder="1" applyAlignment="1">
      <alignment horizontal="center" vertical="center"/>
    </xf>
    <xf numFmtId="0" fontId="59" fillId="2" borderId="4" xfId="0" applyFont="1" applyFill="1" applyBorder="1" applyAlignment="1">
      <alignment horizontal="center" vertical="center"/>
    </xf>
    <xf numFmtId="0" fontId="59" fillId="2" borderId="0" xfId="0" applyFont="1" applyFill="1" applyBorder="1" applyAlignment="1">
      <alignment horizontal="center" vertical="center"/>
    </xf>
    <xf numFmtId="9" fontId="57" fillId="2" borderId="0" xfId="0" quotePrefix="1" applyNumberFormat="1" applyFont="1" applyFill="1" applyBorder="1" applyAlignment="1">
      <alignment horizontal="center" vertical="center"/>
    </xf>
    <xf numFmtId="9" fontId="57" fillId="2" borderId="0" xfId="0" applyNumberFormat="1" applyFont="1" applyFill="1" applyBorder="1" applyAlignment="1">
      <alignment horizontal="center" vertical="center"/>
    </xf>
    <xf numFmtId="9" fontId="57" fillId="2" borderId="5" xfId="0" applyNumberFormat="1" applyFont="1" applyFill="1" applyBorder="1" applyAlignment="1">
      <alignment horizontal="center" vertical="center"/>
    </xf>
    <xf numFmtId="0" fontId="57" fillId="2" borderId="7" xfId="0" applyFont="1" applyFill="1" applyBorder="1" applyAlignment="1">
      <alignment horizontal="center" vertical="center"/>
    </xf>
    <xf numFmtId="0" fontId="57" fillId="2" borderId="8" xfId="0" applyFont="1" applyFill="1" applyBorder="1" applyAlignment="1">
      <alignment horizontal="center" vertical="center"/>
    </xf>
    <xf numFmtId="0" fontId="56" fillId="0" borderId="0" xfId="0" applyFont="1" applyFill="1" applyBorder="1" applyAlignment="1">
      <alignment horizontal="center" vertical="center"/>
    </xf>
    <xf numFmtId="0" fontId="14" fillId="2" borderId="4" xfId="0" applyFont="1" applyFill="1" applyBorder="1" applyAlignment="1">
      <alignment horizontal="center" vertical="center"/>
    </xf>
    <xf numFmtId="0" fontId="14" fillId="6" borderId="119" xfId="0" applyFont="1" applyFill="1" applyBorder="1" applyAlignment="1">
      <alignment horizontal="center" vertical="center" wrapText="1"/>
    </xf>
    <xf numFmtId="0" fontId="14" fillId="6" borderId="120" xfId="0" applyFont="1" applyFill="1" applyBorder="1" applyAlignment="1">
      <alignment horizontal="center" vertical="center" wrapText="1"/>
    </xf>
    <xf numFmtId="0" fontId="14" fillId="6" borderId="121" xfId="0" applyFont="1" applyFill="1" applyBorder="1" applyAlignment="1">
      <alignment horizontal="center" vertical="center" wrapText="1"/>
    </xf>
    <xf numFmtId="0" fontId="14" fillId="6" borderId="122"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123" xfId="0" applyFont="1" applyFill="1" applyBorder="1" applyAlignment="1">
      <alignment horizontal="center" vertical="center" wrapText="1"/>
    </xf>
    <xf numFmtId="0" fontId="14" fillId="6" borderId="124" xfId="0" applyFont="1" applyFill="1" applyBorder="1" applyAlignment="1">
      <alignment horizontal="center" vertical="center" wrapText="1"/>
    </xf>
    <xf numFmtId="0" fontId="14" fillId="6" borderId="125" xfId="0" applyFont="1" applyFill="1" applyBorder="1" applyAlignment="1">
      <alignment horizontal="center" vertical="center" wrapText="1"/>
    </xf>
    <xf numFmtId="0" fontId="14" fillId="6" borderId="126" xfId="0" applyFont="1" applyFill="1" applyBorder="1" applyAlignment="1">
      <alignment horizontal="center" vertical="center" wrapText="1"/>
    </xf>
    <xf numFmtId="0" fontId="10" fillId="3" borderId="14" xfId="0" applyFont="1" applyFill="1" applyBorder="1" applyAlignment="1" applyProtection="1">
      <alignment horizontal="center" vertical="center"/>
      <protection locked="0"/>
    </xf>
    <xf numFmtId="0" fontId="0" fillId="2" borderId="59" xfId="0" applyFont="1" applyFill="1" applyBorder="1" applyAlignment="1" applyProtection="1">
      <alignment horizontal="left" vertical="center" wrapText="1"/>
    </xf>
    <xf numFmtId="0" fontId="10" fillId="3" borderId="14" xfId="0" applyFont="1" applyFill="1" applyBorder="1" applyAlignment="1" applyProtection="1">
      <alignment horizontal="left" vertical="center"/>
      <protection locked="0"/>
    </xf>
    <xf numFmtId="0" fontId="74" fillId="21" borderId="14" xfId="4"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75" fillId="2" borderId="1" xfId="0" applyFont="1" applyFill="1" applyBorder="1" applyAlignment="1" applyProtection="1">
      <alignment horizontal="center" vertical="center"/>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75" fillId="2" borderId="4" xfId="0" applyFont="1" applyFill="1" applyBorder="1" applyAlignment="1" applyProtection="1">
      <alignment horizontal="center" vertical="center"/>
    </xf>
    <xf numFmtId="0" fontId="75" fillId="2" borderId="0" xfId="0" applyFont="1" applyFill="1" applyBorder="1" applyAlignment="1" applyProtection="1">
      <alignment horizontal="center" vertical="center"/>
    </xf>
    <xf numFmtId="0" fontId="75" fillId="2" borderId="5" xfId="0" applyFont="1" applyFill="1" applyBorder="1" applyAlignment="1" applyProtection="1">
      <alignment horizontal="center" vertical="center"/>
    </xf>
    <xf numFmtId="0" fontId="20" fillId="2" borderId="93" xfId="0" applyFont="1" applyFill="1" applyBorder="1" applyAlignment="1">
      <alignment horizontal="center" wrapText="1"/>
    </xf>
    <xf numFmtId="0" fontId="14" fillId="4" borderId="96" xfId="0" applyFont="1" applyFill="1" applyBorder="1" applyAlignment="1">
      <alignment horizontal="center" vertical="center" wrapText="1"/>
    </xf>
    <xf numFmtId="0" fontId="14" fillId="4" borderId="93" xfId="0" applyFont="1" applyFill="1" applyBorder="1" applyAlignment="1">
      <alignment horizontal="center" vertical="center" wrapText="1"/>
    </xf>
    <xf numFmtId="0" fontId="14" fillId="4" borderId="97" xfId="0" applyFont="1" applyFill="1" applyBorder="1" applyAlignment="1">
      <alignment horizontal="center" vertical="center" wrapText="1"/>
    </xf>
    <xf numFmtId="0" fontId="14" fillId="4" borderId="104"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05" xfId="0" applyFont="1" applyFill="1" applyBorder="1" applyAlignment="1">
      <alignment horizontal="center" vertical="center" wrapText="1"/>
    </xf>
    <xf numFmtId="0" fontId="17" fillId="4" borderId="96" xfId="0" applyFont="1" applyFill="1" applyBorder="1" applyAlignment="1">
      <alignment horizontal="center" vertical="center" wrapText="1"/>
    </xf>
    <xf numFmtId="0" fontId="17" fillId="4" borderId="93" xfId="0" applyFont="1" applyFill="1" applyBorder="1" applyAlignment="1">
      <alignment horizontal="center" vertical="center" wrapText="1"/>
    </xf>
    <xf numFmtId="0" fontId="17" fillId="4" borderId="97" xfId="0" applyFont="1" applyFill="1" applyBorder="1" applyAlignment="1">
      <alignment horizontal="center" vertical="center" wrapText="1"/>
    </xf>
    <xf numFmtId="0" fontId="17" fillId="4" borderId="100"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101" xfId="0" applyFont="1" applyFill="1" applyBorder="1" applyAlignment="1">
      <alignment horizontal="center" vertical="center" wrapText="1"/>
    </xf>
    <xf numFmtId="0" fontId="17" fillId="4" borderId="104"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05" xfId="0" applyFont="1" applyFill="1" applyBorder="1" applyAlignment="1">
      <alignment horizontal="center" vertical="center" wrapText="1"/>
    </xf>
    <xf numFmtId="9" fontId="3" fillId="2" borderId="14" xfId="0" applyNumberFormat="1" applyFont="1" applyFill="1" applyBorder="1" applyAlignment="1" applyProtection="1">
      <alignment horizontal="center" vertical="center"/>
    </xf>
    <xf numFmtId="0" fontId="14" fillId="4" borderId="106" xfId="0" applyFont="1" applyFill="1" applyBorder="1" applyAlignment="1">
      <alignment horizontal="center" vertical="center" wrapText="1"/>
    </xf>
    <xf numFmtId="0" fontId="14" fillId="4" borderId="92" xfId="0" applyFont="1" applyFill="1" applyBorder="1" applyAlignment="1">
      <alignment horizontal="center" vertical="center" wrapText="1"/>
    </xf>
    <xf numFmtId="0" fontId="14" fillId="4" borderId="107" xfId="0" applyFont="1" applyFill="1" applyBorder="1" applyAlignment="1">
      <alignment horizontal="center" vertical="center" wrapText="1"/>
    </xf>
    <xf numFmtId="0" fontId="3" fillId="2" borderId="17" xfId="0" applyFont="1" applyFill="1" applyBorder="1" applyAlignment="1">
      <alignment horizontal="center" vertical="center"/>
    </xf>
    <xf numFmtId="0" fontId="20" fillId="2" borderId="0" xfId="0" applyFont="1" applyFill="1" applyBorder="1" applyAlignment="1">
      <alignment horizontal="center" wrapText="1"/>
    </xf>
    <xf numFmtId="0" fontId="10" fillId="2" borderId="0" xfId="0" applyFont="1" applyFill="1" applyBorder="1" applyAlignment="1" applyProtection="1">
      <alignment horizontal="center" vertical="center" wrapText="1"/>
    </xf>
    <xf numFmtId="0" fontId="10" fillId="2" borderId="17" xfId="0" applyFont="1" applyFill="1" applyBorder="1" applyAlignment="1" applyProtection="1">
      <alignment horizontal="center" vertical="center" wrapText="1"/>
    </xf>
    <xf numFmtId="0" fontId="10" fillId="2" borderId="59" xfId="0" applyFont="1" applyFill="1" applyBorder="1" applyAlignment="1" applyProtection="1">
      <alignment horizontal="center" vertical="center" wrapText="1"/>
    </xf>
    <xf numFmtId="0" fontId="10" fillId="2" borderId="23" xfId="0" applyFont="1" applyFill="1" applyBorder="1" applyAlignment="1" applyProtection="1">
      <alignment horizontal="center" vertical="center" wrapText="1"/>
    </xf>
    <xf numFmtId="0" fontId="10" fillId="2" borderId="21" xfId="0" applyFont="1" applyFill="1" applyBorder="1" applyAlignment="1" applyProtection="1">
      <alignment horizontal="center" vertical="center" wrapText="1"/>
    </xf>
    <xf numFmtId="0" fontId="10" fillId="2" borderId="21" xfId="0" applyFont="1" applyFill="1" applyBorder="1" applyAlignment="1" applyProtection="1">
      <alignment horizontal="center" vertical="center"/>
    </xf>
    <xf numFmtId="0" fontId="10" fillId="2" borderId="22" xfId="0" applyFont="1" applyFill="1" applyBorder="1" applyAlignment="1" applyProtection="1">
      <alignment horizontal="center" vertical="center"/>
    </xf>
    <xf numFmtId="0" fontId="10" fillId="2" borderId="60" xfId="0" applyFont="1" applyFill="1" applyBorder="1" applyAlignment="1" applyProtection="1">
      <alignment horizontal="center" vertical="center" wrapText="1"/>
    </xf>
    <xf numFmtId="0" fontId="10" fillId="2" borderId="60" xfId="0" applyFont="1" applyFill="1" applyBorder="1" applyAlignment="1" applyProtection="1">
      <alignment horizontal="center" vertical="center"/>
    </xf>
    <xf numFmtId="0" fontId="10" fillId="2" borderId="18" xfId="0" applyFont="1" applyFill="1" applyBorder="1" applyAlignment="1" applyProtection="1">
      <alignment horizontal="center" vertical="center"/>
    </xf>
    <xf numFmtId="0" fontId="25" fillId="4" borderId="100" xfId="0" applyFont="1" applyFill="1" applyBorder="1" applyAlignment="1" applyProtection="1">
      <alignment horizontal="center" vertical="center" wrapText="1"/>
    </xf>
    <xf numFmtId="0" fontId="81" fillId="4" borderId="100" xfId="0" applyFont="1" applyFill="1" applyBorder="1" applyAlignment="1" applyProtection="1">
      <alignment horizontal="center" vertical="center" wrapText="1"/>
    </xf>
    <xf numFmtId="0" fontId="33" fillId="0" borderId="0" xfId="0" applyFont="1" applyAlignment="1">
      <alignment horizontal="center"/>
    </xf>
    <xf numFmtId="0" fontId="33" fillId="0" borderId="0" xfId="0" applyFont="1" applyAlignment="1" applyProtection="1">
      <alignment horizontal="center"/>
    </xf>
    <xf numFmtId="0" fontId="72" fillId="2" borderId="0" xfId="0" applyFont="1" applyFill="1" applyAlignment="1" applyProtection="1">
      <alignment horizontal="center" vertical="center"/>
    </xf>
    <xf numFmtId="0" fontId="20" fillId="3" borderId="0" xfId="0" applyFont="1" applyFill="1" applyBorder="1" applyAlignment="1" applyProtection="1">
      <alignment horizontal="center"/>
    </xf>
    <xf numFmtId="0" fontId="4" fillId="0" borderId="0" xfId="0" applyFont="1" applyAlignment="1" applyProtection="1">
      <alignment horizontal="center"/>
    </xf>
    <xf numFmtId="0" fontId="24" fillId="3" borderId="2" xfId="0" applyFont="1" applyFill="1" applyBorder="1" applyAlignment="1" applyProtection="1">
      <alignment horizontal="center"/>
    </xf>
    <xf numFmtId="0" fontId="9" fillId="2" borderId="9" xfId="0" applyFont="1" applyFill="1" applyBorder="1" applyAlignment="1" applyProtection="1">
      <alignment horizontal="center"/>
    </xf>
    <xf numFmtId="0" fontId="9" fillId="2" borderId="94" xfId="0" applyFont="1" applyFill="1" applyBorder="1" applyAlignment="1" applyProtection="1">
      <alignment horizontal="center"/>
    </xf>
    <xf numFmtId="0" fontId="4" fillId="0" borderId="0" xfId="0" applyFont="1" applyAlignment="1">
      <alignment horizontal="center"/>
    </xf>
    <xf numFmtId="0" fontId="20" fillId="3" borderId="0" xfId="0" applyFont="1" applyFill="1" applyBorder="1" applyAlignment="1">
      <alignment horizontal="center"/>
    </xf>
    <xf numFmtId="0" fontId="21" fillId="3" borderId="0" xfId="0" applyFont="1" applyFill="1" applyBorder="1" applyAlignment="1">
      <alignment horizontal="center"/>
    </xf>
    <xf numFmtId="0" fontId="24" fillId="3" borderId="2" xfId="0" applyFont="1" applyFill="1" applyBorder="1" applyAlignment="1">
      <alignment horizontal="center"/>
    </xf>
    <xf numFmtId="0" fontId="7" fillId="3" borderId="2" xfId="0" applyFont="1" applyFill="1" applyBorder="1" applyAlignment="1">
      <alignment horizontal="center"/>
    </xf>
    <xf numFmtId="0" fontId="18" fillId="2" borderId="4" xfId="0" applyFont="1" applyFill="1" applyBorder="1" applyAlignment="1">
      <alignment horizontal="right" vertical="center" indent="1"/>
    </xf>
    <xf numFmtId="0" fontId="18" fillId="2" borderId="0" xfId="0" applyFont="1" applyFill="1" applyBorder="1" applyAlignment="1">
      <alignment horizontal="right" vertical="center" indent="1"/>
    </xf>
    <xf numFmtId="0" fontId="18" fillId="2" borderId="51" xfId="0" applyFont="1" applyFill="1" applyBorder="1" applyAlignment="1">
      <alignment horizontal="right" vertical="center" indent="1"/>
    </xf>
    <xf numFmtId="0" fontId="66" fillId="2" borderId="9" xfId="0" applyFont="1" applyFill="1" applyBorder="1" applyAlignment="1">
      <alignment horizontal="center" vertical="center"/>
    </xf>
    <xf numFmtId="0" fontId="66" fillId="2" borderId="94" xfId="0" applyFont="1" applyFill="1" applyBorder="1" applyAlignment="1">
      <alignment horizontal="center" vertical="center"/>
    </xf>
    <xf numFmtId="0" fontId="51" fillId="0" borderId="0" xfId="0" applyFont="1" applyFill="1" applyBorder="1" applyAlignment="1">
      <alignment horizontal="center" vertical="center"/>
    </xf>
    <xf numFmtId="0" fontId="100" fillId="2" borderId="66" xfId="0" applyFont="1" applyFill="1" applyBorder="1" applyAlignment="1">
      <alignment horizontal="center" vertical="center" wrapText="1"/>
    </xf>
    <xf numFmtId="0" fontId="100" fillId="2" borderId="58" xfId="0" applyFont="1" applyFill="1" applyBorder="1" applyAlignment="1">
      <alignment horizontal="center" vertical="center" wrapText="1"/>
    </xf>
    <xf numFmtId="0" fontId="100" fillId="2" borderId="65" xfId="0" applyFont="1" applyFill="1" applyBorder="1" applyAlignment="1">
      <alignment horizontal="center" vertical="center" wrapText="1"/>
    </xf>
    <xf numFmtId="0" fontId="100" fillId="2" borderId="6" xfId="0" applyFont="1" applyFill="1" applyBorder="1" applyAlignment="1">
      <alignment horizontal="center" vertical="center" wrapText="1"/>
    </xf>
    <xf numFmtId="0" fontId="100" fillId="2" borderId="7" xfId="0" applyFont="1" applyFill="1" applyBorder="1" applyAlignment="1">
      <alignment horizontal="center" vertical="center" wrapText="1"/>
    </xf>
    <xf numFmtId="0" fontId="100" fillId="2" borderId="8" xfId="0" applyFont="1" applyFill="1" applyBorder="1" applyAlignment="1">
      <alignment horizontal="center" vertical="center" wrapText="1"/>
    </xf>
    <xf numFmtId="0" fontId="45" fillId="5" borderId="1" xfId="0" applyFont="1" applyFill="1" applyBorder="1" applyAlignment="1">
      <alignment horizontal="center" vertical="center" wrapText="1"/>
    </xf>
    <xf numFmtId="0" fontId="45" fillId="5" borderId="2" xfId="0" applyFont="1" applyFill="1" applyBorder="1" applyAlignment="1">
      <alignment horizontal="center" vertical="center" wrapText="1"/>
    </xf>
    <xf numFmtId="0" fontId="45" fillId="5" borderId="3" xfId="0" applyFont="1" applyFill="1" applyBorder="1" applyAlignment="1">
      <alignment horizontal="center" vertical="center" wrapText="1"/>
    </xf>
    <xf numFmtId="0" fontId="45" fillId="5" borderId="4" xfId="0" applyFont="1" applyFill="1" applyBorder="1" applyAlignment="1">
      <alignment horizontal="center" vertical="center" wrapText="1"/>
    </xf>
    <xf numFmtId="0" fontId="45" fillId="5" borderId="0" xfId="0" applyFont="1" applyFill="1" applyBorder="1" applyAlignment="1">
      <alignment horizontal="center" vertical="center" wrapText="1"/>
    </xf>
    <xf numFmtId="0" fontId="45" fillId="5" borderId="5" xfId="0" applyFont="1" applyFill="1" applyBorder="1" applyAlignment="1">
      <alignment horizontal="center" vertical="center" wrapText="1"/>
    </xf>
    <xf numFmtId="0" fontId="45" fillId="5" borderId="6" xfId="0" applyFont="1" applyFill="1" applyBorder="1" applyAlignment="1">
      <alignment horizontal="center" vertical="center" wrapText="1"/>
    </xf>
    <xf numFmtId="0" fontId="45" fillId="5" borderId="7" xfId="0" applyFont="1" applyFill="1" applyBorder="1" applyAlignment="1">
      <alignment horizontal="center" vertical="center" wrapText="1"/>
    </xf>
    <xf numFmtId="0" fontId="45" fillId="5" borderId="8" xfId="0" applyFont="1" applyFill="1" applyBorder="1" applyAlignment="1">
      <alignment horizontal="center" vertical="center" wrapText="1"/>
    </xf>
    <xf numFmtId="0" fontId="47" fillId="5" borderId="1" xfId="0" applyFont="1" applyFill="1" applyBorder="1" applyAlignment="1">
      <alignment horizontal="center" vertical="center" wrapText="1"/>
    </xf>
    <xf numFmtId="0" fontId="47" fillId="5" borderId="2" xfId="0" applyFont="1" applyFill="1" applyBorder="1" applyAlignment="1">
      <alignment horizontal="center" vertical="center" wrapText="1"/>
    </xf>
    <xf numFmtId="0" fontId="47" fillId="5" borderId="3" xfId="0" applyFont="1" applyFill="1" applyBorder="1" applyAlignment="1">
      <alignment horizontal="center" vertical="center" wrapText="1"/>
    </xf>
    <xf numFmtId="0" fontId="46" fillId="5" borderId="6" xfId="0" applyFont="1" applyFill="1" applyBorder="1" applyAlignment="1">
      <alignment horizontal="center" vertical="center"/>
    </xf>
    <xf numFmtId="0" fontId="46" fillId="5" borderId="7" xfId="0" applyFont="1" applyFill="1" applyBorder="1" applyAlignment="1">
      <alignment horizontal="center" vertical="center"/>
    </xf>
    <xf numFmtId="0" fontId="46" fillId="5" borderId="8" xfId="0" applyFont="1" applyFill="1" applyBorder="1" applyAlignment="1">
      <alignment horizontal="center" vertical="center"/>
    </xf>
    <xf numFmtId="0" fontId="45" fillId="5" borderId="1" xfId="0" applyFont="1" applyFill="1" applyBorder="1" applyAlignment="1">
      <alignment horizontal="center" vertical="center"/>
    </xf>
    <xf numFmtId="0" fontId="45" fillId="5" borderId="2" xfId="0" applyFont="1" applyFill="1" applyBorder="1" applyAlignment="1">
      <alignment horizontal="center" vertical="center"/>
    </xf>
    <xf numFmtId="0" fontId="45" fillId="5" borderId="3" xfId="0" applyFont="1" applyFill="1" applyBorder="1" applyAlignment="1">
      <alignment horizontal="center" vertical="center"/>
    </xf>
    <xf numFmtId="0" fontId="45" fillId="5" borderId="4" xfId="0" applyFont="1" applyFill="1" applyBorder="1" applyAlignment="1">
      <alignment horizontal="center" vertical="center"/>
    </xf>
    <xf numFmtId="0" fontId="45" fillId="5" borderId="0" xfId="0" applyFont="1" applyFill="1" applyBorder="1" applyAlignment="1">
      <alignment horizontal="center" vertical="center"/>
    </xf>
    <xf numFmtId="0" fontId="45" fillId="5" borderId="5" xfId="0" applyFont="1" applyFill="1" applyBorder="1" applyAlignment="1">
      <alignment horizontal="center" vertical="center"/>
    </xf>
    <xf numFmtId="0" fontId="45" fillId="5" borderId="6" xfId="0" applyFont="1" applyFill="1" applyBorder="1" applyAlignment="1">
      <alignment horizontal="center" vertical="center"/>
    </xf>
    <xf numFmtId="0" fontId="45" fillId="5" borderId="7" xfId="0" applyFont="1" applyFill="1" applyBorder="1" applyAlignment="1">
      <alignment horizontal="center" vertical="center"/>
    </xf>
    <xf numFmtId="0" fontId="45" fillId="5" borderId="8" xfId="0" applyFont="1" applyFill="1" applyBorder="1" applyAlignment="1">
      <alignment horizontal="center" vertical="center"/>
    </xf>
    <xf numFmtId="0" fontId="96" fillId="3" borderId="85" xfId="0" applyFont="1" applyFill="1" applyBorder="1" applyAlignment="1">
      <alignment horizontal="right" vertical="center"/>
    </xf>
    <xf numFmtId="0" fontId="96" fillId="3" borderId="84" xfId="0" applyFont="1" applyFill="1" applyBorder="1" applyAlignment="1">
      <alignment horizontal="right" vertical="center"/>
    </xf>
    <xf numFmtId="169" fontId="43" fillId="14" borderId="83" xfId="0" applyNumberFormat="1" applyFont="1" applyFill="1" applyBorder="1" applyAlignment="1" applyProtection="1">
      <alignment horizontal="center" vertical="center"/>
      <protection locked="0"/>
    </xf>
    <xf numFmtId="169" fontId="43" fillId="14" borderId="82" xfId="0" applyNumberFormat="1" applyFont="1" applyFill="1" applyBorder="1" applyAlignment="1" applyProtection="1">
      <alignment horizontal="center" vertical="center"/>
      <protection locked="0"/>
    </xf>
    <xf numFmtId="0" fontId="101" fillId="2" borderId="60" xfId="0" applyFont="1" applyFill="1" applyBorder="1" applyAlignment="1">
      <alignment horizontal="center" vertical="center" wrapText="1"/>
    </xf>
    <xf numFmtId="0" fontId="101" fillId="2" borderId="0" xfId="0" applyFont="1" applyFill="1" applyBorder="1" applyAlignment="1">
      <alignment horizontal="center" vertical="center"/>
    </xf>
    <xf numFmtId="0" fontId="101" fillId="2" borderId="5" xfId="0" applyFont="1" applyFill="1" applyBorder="1" applyAlignment="1">
      <alignment horizontal="center" vertical="center"/>
    </xf>
    <xf numFmtId="0" fontId="101" fillId="2" borderId="81" xfId="0" applyFont="1" applyFill="1" applyBorder="1" applyAlignment="1">
      <alignment horizontal="center" vertical="center"/>
    </xf>
    <xf numFmtId="0" fontId="101" fillId="2" borderId="7" xfId="0" applyFont="1" applyFill="1" applyBorder="1" applyAlignment="1">
      <alignment horizontal="center" vertical="center"/>
    </xf>
    <xf numFmtId="0" fontId="101" fillId="2" borderId="8" xfId="0" applyFont="1" applyFill="1" applyBorder="1" applyAlignment="1">
      <alignment horizontal="center" vertical="center"/>
    </xf>
    <xf numFmtId="0" fontId="38" fillId="7" borderId="0" xfId="0" applyFont="1" applyFill="1" applyAlignment="1">
      <alignment horizontal="center"/>
    </xf>
    <xf numFmtId="0" fontId="96" fillId="3" borderId="111" xfId="0" applyFont="1" applyFill="1" applyBorder="1" applyAlignment="1">
      <alignment horizontal="left" vertical="center"/>
    </xf>
    <xf numFmtId="0" fontId="96" fillId="3" borderId="2" xfId="0" applyFont="1" applyFill="1" applyBorder="1" applyAlignment="1">
      <alignment horizontal="left" vertical="center"/>
    </xf>
    <xf numFmtId="0" fontId="96" fillId="3" borderId="87" xfId="0" applyFont="1" applyFill="1" applyBorder="1" applyAlignment="1">
      <alignment horizontal="left" vertical="center"/>
    </xf>
    <xf numFmtId="0" fontId="39" fillId="2" borderId="17" xfId="0" applyFont="1" applyFill="1" applyBorder="1" applyAlignment="1">
      <alignment horizontal="center"/>
    </xf>
    <xf numFmtId="0" fontId="96" fillId="3" borderId="114" xfId="0" applyFont="1" applyFill="1" applyBorder="1" applyAlignment="1">
      <alignment horizontal="left" vertical="center"/>
    </xf>
    <xf numFmtId="0" fontId="96" fillId="3" borderId="115" xfId="0" applyFont="1" applyFill="1" applyBorder="1" applyAlignment="1">
      <alignment horizontal="left" vertical="center"/>
    </xf>
    <xf numFmtId="0" fontId="96" fillId="3" borderId="116" xfId="0" applyFont="1" applyFill="1" applyBorder="1" applyAlignment="1">
      <alignment horizontal="left" vertical="center"/>
    </xf>
    <xf numFmtId="0" fontId="100" fillId="2" borderId="108" xfId="0" applyFont="1" applyFill="1" applyBorder="1" applyAlignment="1">
      <alignment horizontal="center" vertical="center" wrapText="1"/>
    </xf>
    <xf numFmtId="0" fontId="100" fillId="2" borderId="61" xfId="0" applyFont="1" applyFill="1" applyBorder="1" applyAlignment="1">
      <alignment horizontal="center" vertical="center" wrapText="1"/>
    </xf>
    <xf numFmtId="0" fontId="100" fillId="2" borderId="100" xfId="0" applyFont="1" applyFill="1" applyBorder="1" applyAlignment="1">
      <alignment horizontal="center" vertical="center" wrapText="1"/>
    </xf>
    <xf numFmtId="0" fontId="100" fillId="2" borderId="0" xfId="0" applyFont="1" applyFill="1" applyBorder="1" applyAlignment="1">
      <alignment horizontal="center" vertical="center" wrapText="1"/>
    </xf>
    <xf numFmtId="0" fontId="100" fillId="2" borderId="59" xfId="0" applyFont="1" applyFill="1" applyBorder="1" applyAlignment="1">
      <alignment horizontal="center" vertical="center" wrapText="1"/>
    </xf>
    <xf numFmtId="0" fontId="106" fillId="2" borderId="100" xfId="0" applyFont="1" applyFill="1" applyBorder="1" applyAlignment="1">
      <alignment horizontal="center" vertical="center" wrapText="1"/>
    </xf>
    <xf numFmtId="0" fontId="106" fillId="2" borderId="0" xfId="0" applyFont="1" applyFill="1" applyBorder="1" applyAlignment="1">
      <alignment horizontal="center" vertical="center" wrapText="1"/>
    </xf>
    <xf numFmtId="0" fontId="106" fillId="2" borderId="59" xfId="0" applyFont="1" applyFill="1" applyBorder="1" applyAlignment="1">
      <alignment horizontal="center" vertical="center" wrapText="1"/>
    </xf>
    <xf numFmtId="0" fontId="106" fillId="2" borderId="109" xfId="0" applyFont="1" applyFill="1" applyBorder="1" applyAlignment="1">
      <alignment horizontal="center" vertical="center" wrapText="1"/>
    </xf>
    <xf numFmtId="0" fontId="106" fillId="2" borderId="7" xfId="0" applyFont="1" applyFill="1" applyBorder="1" applyAlignment="1">
      <alignment horizontal="center" vertical="center" wrapText="1"/>
    </xf>
    <xf numFmtId="0" fontId="106" fillId="2" borderId="89" xfId="0" applyFont="1" applyFill="1" applyBorder="1" applyAlignment="1">
      <alignment horizontal="center" vertical="center" wrapText="1"/>
    </xf>
    <xf numFmtId="0" fontId="111" fillId="2" borderId="66" xfId="0" applyFont="1" applyFill="1" applyBorder="1" applyAlignment="1">
      <alignment horizontal="center" wrapText="1"/>
    </xf>
    <xf numFmtId="0" fontId="111" fillId="2" borderId="58" xfId="0" applyFont="1" applyFill="1" applyBorder="1" applyAlignment="1">
      <alignment horizontal="center" wrapText="1"/>
    </xf>
    <xf numFmtId="0" fontId="111" fillId="2" borderId="117" xfId="0" applyFont="1" applyFill="1" applyBorder="1" applyAlignment="1">
      <alignment horizontal="center" wrapText="1"/>
    </xf>
    <xf numFmtId="0" fontId="96" fillId="2" borderId="4" xfId="0" applyFont="1" applyFill="1" applyBorder="1" applyAlignment="1">
      <alignment horizontal="center" vertical="center" wrapText="1"/>
    </xf>
    <xf numFmtId="0" fontId="96" fillId="2" borderId="0" xfId="0" applyFont="1" applyFill="1" applyBorder="1" applyAlignment="1">
      <alignment horizontal="center" vertical="center" wrapText="1"/>
    </xf>
    <xf numFmtId="0" fontId="96" fillId="2" borderId="101" xfId="0" applyFont="1" applyFill="1" applyBorder="1" applyAlignment="1">
      <alignment horizontal="center" vertical="center" wrapText="1"/>
    </xf>
    <xf numFmtId="0" fontId="96" fillId="2" borderId="6" xfId="0" applyFont="1" applyFill="1" applyBorder="1" applyAlignment="1">
      <alignment horizontal="center" vertical="center" wrapText="1"/>
    </xf>
    <xf numFmtId="0" fontId="96" fillId="2" borderId="7" xfId="0" applyFont="1" applyFill="1" applyBorder="1" applyAlignment="1">
      <alignment horizontal="center" vertical="center" wrapText="1"/>
    </xf>
    <xf numFmtId="0" fontId="96" fillId="2" borderId="118" xfId="0" applyFont="1" applyFill="1" applyBorder="1" applyAlignment="1">
      <alignment horizontal="center" vertical="center" wrapText="1"/>
    </xf>
    <xf numFmtId="0" fontId="38" fillId="7" borderId="4" xfId="0" applyFont="1" applyFill="1" applyBorder="1" applyAlignment="1">
      <alignment horizontal="left" vertical="center" wrapText="1" indent="1"/>
    </xf>
    <xf numFmtId="0" fontId="38" fillId="7" borderId="0" xfId="0" applyFont="1" applyFill="1" applyBorder="1" applyAlignment="1">
      <alignment horizontal="left" vertical="center" wrapText="1" indent="1"/>
    </xf>
    <xf numFmtId="0" fontId="38" fillId="7" borderId="5" xfId="0" applyFont="1" applyFill="1" applyBorder="1" applyAlignment="1">
      <alignment horizontal="left" vertical="center" wrapText="1" indent="1"/>
    </xf>
    <xf numFmtId="0" fontId="30" fillId="7" borderId="1" xfId="0" applyFont="1" applyFill="1" applyBorder="1" applyAlignment="1">
      <alignment horizontal="left" vertical="center" indent="1"/>
    </xf>
    <xf numFmtId="0" fontId="30" fillId="7" borderId="2" xfId="0" applyFont="1" applyFill="1" applyBorder="1" applyAlignment="1">
      <alignment horizontal="left" vertical="center" indent="1"/>
    </xf>
    <xf numFmtId="0" fontId="30" fillId="7" borderId="3" xfId="0" applyFont="1" applyFill="1" applyBorder="1" applyAlignment="1">
      <alignment horizontal="left" vertical="center" indent="1"/>
    </xf>
    <xf numFmtId="0" fontId="67" fillId="2" borderId="17" xfId="0" applyFont="1" applyFill="1" applyBorder="1" applyAlignment="1">
      <alignment horizontal="center"/>
    </xf>
    <xf numFmtId="0" fontId="109" fillId="2" borderId="24" xfId="0" applyFont="1" applyFill="1" applyBorder="1" applyAlignment="1">
      <alignment horizontal="left" vertical="center" wrapText="1" indent="1"/>
    </xf>
    <xf numFmtId="0" fontId="109" fillId="2" borderId="36" xfId="0" applyFont="1" applyFill="1" applyBorder="1" applyAlignment="1">
      <alignment horizontal="left" vertical="center" wrapText="1" indent="1"/>
    </xf>
    <xf numFmtId="0" fontId="109" fillId="2" borderId="24" xfId="0" quotePrefix="1" applyFont="1" applyFill="1" applyBorder="1" applyAlignment="1">
      <alignment horizontal="left" vertical="center" wrapText="1" indent="1"/>
    </xf>
    <xf numFmtId="0" fontId="36" fillId="0" borderId="0" xfId="0" applyFont="1" applyAlignment="1">
      <alignment horizontal="center" vertical="top" wrapText="1"/>
    </xf>
    <xf numFmtId="0" fontId="36" fillId="0" borderId="0" xfId="0" applyFont="1" applyAlignment="1">
      <alignment horizontal="center" vertical="top"/>
    </xf>
    <xf numFmtId="0" fontId="12" fillId="4" borderId="29" xfId="0" applyFont="1" applyFill="1" applyBorder="1" applyAlignment="1">
      <alignment horizontal="left" vertical="center" wrapText="1" indent="1"/>
    </xf>
    <xf numFmtId="0" fontId="12" fillId="4" borderId="40" xfId="0" applyFont="1" applyFill="1" applyBorder="1" applyAlignment="1">
      <alignment horizontal="left" vertical="center" wrapText="1" indent="1"/>
    </xf>
    <xf numFmtId="0" fontId="12" fillId="4" borderId="28" xfId="0" applyFont="1" applyFill="1" applyBorder="1" applyAlignment="1">
      <alignment horizontal="left" vertical="center" wrapText="1" indent="1"/>
    </xf>
    <xf numFmtId="0" fontId="12" fillId="4" borderId="39" xfId="0" applyFont="1" applyFill="1" applyBorder="1" applyAlignment="1">
      <alignment horizontal="left" vertical="center" wrapText="1" indent="1"/>
    </xf>
    <xf numFmtId="0" fontId="31" fillId="4" borderId="30" xfId="0" applyFont="1" applyFill="1" applyBorder="1" applyAlignment="1">
      <alignment horizontal="left" vertical="center" wrapText="1" indent="1"/>
    </xf>
    <xf numFmtId="0" fontId="31" fillId="4" borderId="41" xfId="0" applyFont="1" applyFill="1" applyBorder="1" applyAlignment="1">
      <alignment horizontal="left" vertical="center" wrapText="1" indent="1"/>
    </xf>
    <xf numFmtId="0" fontId="33" fillId="0" borderId="0" xfId="0" applyFont="1" applyAlignment="1">
      <alignment horizontal="center" wrapText="1"/>
    </xf>
    <xf numFmtId="0" fontId="109" fillId="2" borderId="34" xfId="0" applyFont="1" applyFill="1" applyBorder="1" applyAlignment="1">
      <alignment horizontal="left" vertical="center" wrapText="1" indent="1"/>
    </xf>
    <xf numFmtId="0" fontId="109" fillId="2" borderId="35" xfId="0" applyFont="1" applyFill="1" applyBorder="1" applyAlignment="1">
      <alignment horizontal="left" vertical="center" wrapText="1" indent="1"/>
    </xf>
    <xf numFmtId="0" fontId="91" fillId="2" borderId="24" xfId="0" applyFont="1" applyFill="1" applyBorder="1" applyAlignment="1">
      <alignment horizontal="left" vertical="center" wrapText="1" indent="1"/>
    </xf>
    <xf numFmtId="0" fontId="91" fillId="2" borderId="36" xfId="0" applyFont="1" applyFill="1" applyBorder="1" applyAlignment="1">
      <alignment horizontal="left" vertical="center" wrapText="1" indent="1"/>
    </xf>
    <xf numFmtId="0" fontId="91" fillId="2" borderId="37" xfId="0" applyFont="1" applyFill="1" applyBorder="1" applyAlignment="1">
      <alignment horizontal="left" vertical="center" wrapText="1" indent="1"/>
    </xf>
    <xf numFmtId="0" fontId="91" fillId="2" borderId="38" xfId="0" applyFont="1" applyFill="1" applyBorder="1" applyAlignment="1">
      <alignment horizontal="left" vertical="center" wrapText="1" indent="1"/>
    </xf>
    <xf numFmtId="0" fontId="8" fillId="5" borderId="28"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31" fillId="4" borderId="29" xfId="0" applyFont="1" applyFill="1" applyBorder="1" applyAlignment="1">
      <alignment horizontal="left" vertical="center" wrapText="1" indent="1"/>
    </xf>
    <xf numFmtId="0" fontId="31" fillId="4" borderId="40" xfId="0" applyFont="1" applyFill="1" applyBorder="1" applyAlignment="1">
      <alignment horizontal="left" vertical="center" wrapText="1" indent="1"/>
    </xf>
    <xf numFmtId="0" fontId="3" fillId="3" borderId="87" xfId="0" applyFont="1" applyFill="1" applyBorder="1" applyAlignment="1">
      <alignment horizontal="center" vertical="center"/>
    </xf>
    <xf numFmtId="0" fontId="3" fillId="3" borderId="89" xfId="0" applyFont="1" applyFill="1" applyBorder="1" applyAlignment="1">
      <alignment horizontal="center" vertical="center"/>
    </xf>
    <xf numFmtId="0" fontId="3" fillId="3" borderId="59" xfId="0" applyFont="1" applyFill="1" applyBorder="1" applyAlignment="1">
      <alignment horizontal="center" vertical="center"/>
    </xf>
    <xf numFmtId="0" fontId="4" fillId="0" borderId="0" xfId="0" applyFont="1" applyAlignment="1">
      <alignment horizontal="center" vertical="center"/>
    </xf>
  </cellXfs>
  <cellStyles count="5">
    <cellStyle name="Comma" xfId="1" builtinId="3"/>
    <cellStyle name="Hyperlink" xfId="2" builtinId="8"/>
    <cellStyle name="Normal" xfId="0" builtinId="0"/>
    <cellStyle name="Normal_Sheet1" xfId="4"/>
    <cellStyle name="Percent" xfId="3" builtinId="5"/>
  </cellStyles>
  <dxfs count="153">
    <dxf>
      <font>
        <color rgb="FF9C0006"/>
      </font>
    </dxf>
    <dxf>
      <font>
        <b val="0"/>
        <i/>
        <color rgb="FF9C0006"/>
      </font>
      <fill>
        <patternFill>
          <bgColor rgb="FFFFC7CE"/>
        </patternFill>
      </fill>
    </dxf>
    <dxf>
      <font>
        <b val="0"/>
        <i/>
        <color rgb="FF002060"/>
      </font>
      <fill>
        <patternFill>
          <bgColor rgb="FFFFC7CE"/>
        </patternFill>
      </fill>
    </dxf>
    <dxf>
      <font>
        <b val="0"/>
        <i/>
        <color rgb="FF9C0006"/>
      </font>
      <fill>
        <patternFill>
          <bgColor rgb="FFFFC7CE"/>
        </patternFill>
      </fill>
    </dxf>
    <dxf>
      <font>
        <b val="0"/>
        <i/>
        <color rgb="FF002060"/>
      </font>
      <fill>
        <patternFill>
          <bgColor rgb="FFFFC7CE"/>
        </patternFill>
      </fill>
    </dxf>
    <dxf>
      <font>
        <b val="0"/>
        <i/>
        <color rgb="FF9C0006"/>
      </font>
      <fill>
        <patternFill>
          <bgColor rgb="FFFFC7CE"/>
        </patternFill>
      </fill>
    </dxf>
    <dxf>
      <font>
        <color rgb="FF9C0006"/>
      </font>
      <fill>
        <patternFill>
          <bgColor rgb="FFFFC7CE"/>
        </patternFill>
      </fill>
    </dxf>
    <dxf>
      <font>
        <b val="0"/>
        <i/>
        <color rgb="FF002060"/>
      </font>
      <fill>
        <patternFill>
          <bgColor rgb="FFFFC7CE"/>
        </patternFill>
      </fill>
    </dxf>
    <dxf>
      <font>
        <color auto="1"/>
      </font>
      <fill>
        <patternFill>
          <bgColor rgb="FFFFC7CE"/>
        </patternFill>
      </fill>
    </dxf>
    <dxf>
      <font>
        <color auto="1"/>
      </font>
      <fill>
        <patternFill>
          <bgColor rgb="FFFFC7CE"/>
        </patternFill>
      </fill>
    </dxf>
    <dxf>
      <font>
        <b val="0"/>
        <i/>
        <color rgb="FF9C0006"/>
      </font>
      <fill>
        <patternFill>
          <bgColor rgb="FFFFC7CE"/>
        </patternFill>
      </fill>
    </dxf>
    <dxf>
      <font>
        <b val="0"/>
        <i/>
        <color rgb="FF002060"/>
      </font>
      <fill>
        <patternFill>
          <bgColor rgb="FFFFC7CE"/>
        </patternFill>
      </fill>
    </dxf>
    <dxf>
      <font>
        <color auto="1"/>
      </font>
      <fill>
        <patternFill>
          <bgColor rgb="FFFFC7CE"/>
        </patternFill>
      </fill>
    </dxf>
    <dxf>
      <font>
        <color auto="1"/>
      </font>
      <fill>
        <patternFill>
          <bgColor rgb="FFFFC7CE"/>
        </patternFill>
      </fill>
    </dxf>
    <dxf>
      <font>
        <color rgb="FF9C0006"/>
      </font>
      <fill>
        <patternFill>
          <bgColor rgb="FFFFC7CE"/>
        </patternFill>
      </fill>
    </dxf>
    <dxf>
      <font>
        <b val="0"/>
        <i/>
        <color rgb="FF002060"/>
      </font>
      <fill>
        <patternFill>
          <bgColor rgb="FFFFC7CE"/>
        </patternFill>
      </fill>
    </dxf>
    <dxf>
      <font>
        <color auto="1"/>
      </font>
      <fill>
        <patternFill>
          <bgColor rgb="FFFFC7CE"/>
        </patternFill>
      </fill>
    </dxf>
    <dxf>
      <font>
        <color auto="1"/>
      </font>
      <fill>
        <patternFill>
          <bgColor rgb="FFFFC7CE"/>
        </patternFill>
      </fill>
    </dxf>
    <dxf>
      <font>
        <color rgb="FF9C0006"/>
      </font>
      <fill>
        <patternFill>
          <bgColor rgb="FFFFC7CE"/>
        </patternFill>
      </fill>
    </dxf>
    <dxf>
      <font>
        <b val="0"/>
        <i/>
        <color rgb="FF002060"/>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rgb="FF9C0006"/>
      </font>
      <fill>
        <patternFill>
          <bgColor rgb="FFFFC7CE"/>
        </patternFill>
      </fill>
    </dxf>
    <dxf>
      <font>
        <b val="0"/>
        <i/>
        <color rgb="FF002060"/>
      </font>
      <fill>
        <patternFill>
          <bgColor rgb="FFFFC7CE"/>
        </patternFill>
      </fill>
    </dxf>
    <dxf>
      <font>
        <color rgb="FF9C0006"/>
      </font>
      <fill>
        <patternFill>
          <bgColor rgb="FFFFC7CE"/>
        </patternFill>
      </fill>
    </dxf>
    <dxf>
      <font>
        <b val="0"/>
        <i/>
        <color rgb="FF002060"/>
      </font>
      <fill>
        <patternFill>
          <bgColor rgb="FFFFC7CE"/>
        </patternFill>
      </fill>
    </dxf>
    <dxf>
      <font>
        <color rgb="FF9C0006"/>
      </font>
      <fill>
        <patternFill>
          <bgColor rgb="FFFFC7CE"/>
        </patternFill>
      </fill>
    </dxf>
    <dxf>
      <font>
        <b val="0"/>
        <i/>
        <color rgb="FF002060"/>
      </font>
      <fill>
        <patternFill>
          <bgColor rgb="FFFFC7CE"/>
        </patternFill>
      </fill>
    </dxf>
    <dxf>
      <font>
        <b val="0"/>
        <i/>
        <color rgb="FF002060"/>
      </font>
      <fill>
        <patternFill>
          <bgColor rgb="FFFFC7CE"/>
        </patternFill>
      </fill>
    </dxf>
    <dxf>
      <font>
        <b val="0"/>
        <i/>
        <color rgb="FF9C0006"/>
      </font>
      <fill>
        <patternFill>
          <bgColor rgb="FFFFC7CE"/>
        </patternFill>
      </fill>
    </dxf>
    <dxf>
      <font>
        <b val="0"/>
        <i/>
        <color rgb="FF002060"/>
      </font>
      <fill>
        <patternFill>
          <bgColor rgb="FFFFC7CE"/>
        </patternFill>
      </fill>
    </dxf>
    <dxf>
      <font>
        <b val="0"/>
        <i/>
        <color rgb="FF9C0006"/>
      </font>
      <fill>
        <patternFill>
          <bgColor rgb="FFFFC7CE"/>
        </patternFill>
      </fill>
    </dxf>
    <dxf>
      <fill>
        <patternFill>
          <bgColor rgb="FFFFCCCC"/>
        </patternFill>
      </fill>
    </dxf>
    <dxf>
      <fill>
        <patternFill patternType="darkGrid"/>
      </fill>
      <border>
        <left style="thin">
          <color auto="1"/>
        </left>
        <right style="thin">
          <color auto="1"/>
        </right>
        <top style="thin">
          <color auto="1"/>
        </top>
        <bottom style="thin">
          <color auto="1"/>
        </bottom>
        <vertical/>
        <horizontal/>
      </border>
    </dxf>
    <dxf>
      <fill>
        <patternFill patternType="darkGrid"/>
      </fill>
      <border>
        <left style="thin">
          <color auto="1"/>
        </left>
        <right style="thin">
          <color auto="1"/>
        </right>
        <top style="thin">
          <color auto="1"/>
        </top>
        <bottom style="thin">
          <color auto="1"/>
        </bottom>
        <vertical/>
        <horizontal/>
      </border>
    </dxf>
    <dxf>
      <fill>
        <patternFill>
          <bgColor rgb="FFFFCCCC"/>
        </patternFill>
      </fill>
    </dxf>
    <dxf>
      <fill>
        <patternFill patternType="darkGrid"/>
      </fill>
      <border>
        <left style="thin">
          <color auto="1"/>
        </left>
        <right style="thin">
          <color auto="1"/>
        </right>
        <top style="thin">
          <color auto="1"/>
        </top>
        <bottom style="thin">
          <color auto="1"/>
        </bottom>
        <vertical/>
        <horizontal/>
      </border>
    </dxf>
    <dxf>
      <fill>
        <patternFill patternType="darkGrid"/>
      </fill>
      <border>
        <left style="thin">
          <color auto="1"/>
        </left>
        <right style="thin">
          <color auto="1"/>
        </right>
        <top style="thin">
          <color auto="1"/>
        </top>
        <bottom style="thin">
          <color auto="1"/>
        </bottom>
        <vertical/>
        <horizontal/>
      </border>
    </dxf>
    <dxf>
      <font>
        <b val="0"/>
        <i/>
        <color rgb="FFC00000"/>
      </font>
    </dxf>
    <dxf>
      <fill>
        <patternFill>
          <bgColor rgb="FFFFCCCC"/>
        </patternFill>
      </fill>
    </dxf>
    <dxf>
      <fill>
        <patternFill patternType="darkGrid"/>
      </fill>
      <border>
        <left style="thin">
          <color auto="1"/>
        </left>
        <right style="thin">
          <color auto="1"/>
        </right>
        <top style="thin">
          <color auto="1"/>
        </top>
        <bottom style="thin">
          <color auto="1"/>
        </bottom>
        <vertical/>
        <horizontal/>
      </border>
    </dxf>
    <dxf>
      <fill>
        <patternFill patternType="darkGrid"/>
      </fill>
      <border>
        <left style="thin">
          <color auto="1"/>
        </left>
        <right style="thin">
          <color auto="1"/>
        </right>
        <top style="thin">
          <color auto="1"/>
        </top>
        <bottom style="thin">
          <color auto="1"/>
        </bottom>
        <vertical/>
        <horizontal/>
      </border>
    </dxf>
    <dxf>
      <fill>
        <patternFill>
          <bgColor rgb="FFFFCCCC"/>
        </patternFill>
      </fill>
    </dxf>
    <dxf>
      <fill>
        <patternFill patternType="darkGrid"/>
      </fill>
      <border>
        <left style="thin">
          <color auto="1"/>
        </left>
        <right style="thin">
          <color auto="1"/>
        </right>
        <top style="thin">
          <color auto="1"/>
        </top>
        <bottom style="thin">
          <color auto="1"/>
        </bottom>
        <vertical/>
        <horizontal/>
      </border>
    </dxf>
    <dxf>
      <fill>
        <patternFill patternType="darkGrid"/>
      </fill>
      <border>
        <left style="thin">
          <color auto="1"/>
        </left>
        <right style="thin">
          <color auto="1"/>
        </right>
        <top style="thin">
          <color auto="1"/>
        </top>
        <bottom style="thin">
          <color auto="1"/>
        </bottom>
        <vertical/>
        <horizontal/>
      </border>
    </dxf>
    <dxf>
      <font>
        <b val="0"/>
        <i/>
        <color rgb="FFC00000"/>
      </font>
    </dxf>
    <dxf>
      <font>
        <b val="0"/>
        <i/>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CCC"/>
        </patternFill>
      </fill>
    </dxf>
    <dxf>
      <fill>
        <patternFill patternType="darkGrid"/>
      </fill>
      <border>
        <left style="thin">
          <color auto="1"/>
        </left>
        <right style="thin">
          <color auto="1"/>
        </right>
        <top style="thin">
          <color auto="1"/>
        </top>
        <bottom style="thin">
          <color auto="1"/>
        </bottom>
        <vertical/>
        <horizontal/>
      </border>
    </dxf>
    <dxf>
      <fill>
        <patternFill patternType="darkGrid"/>
      </fill>
      <border>
        <left style="thin">
          <color auto="1"/>
        </left>
        <right style="thin">
          <color auto="1"/>
        </right>
        <top style="thin">
          <color auto="1"/>
        </top>
        <bottom style="thin">
          <color auto="1"/>
        </bottom>
        <vertical/>
        <horizontal/>
      </border>
    </dxf>
    <dxf>
      <font>
        <b val="0"/>
        <i/>
        <color rgb="FFC00000"/>
      </font>
    </dxf>
    <dxf>
      <font>
        <b val="0"/>
        <i/>
        <color rgb="FFC00000"/>
      </font>
    </dxf>
    <dxf>
      <fill>
        <patternFill>
          <bgColor rgb="FFFFCCCC"/>
        </patternFill>
      </fill>
    </dxf>
    <dxf>
      <fill>
        <patternFill patternType="darkGrid"/>
      </fill>
      <border>
        <left style="thin">
          <color auto="1"/>
        </left>
        <right style="thin">
          <color auto="1"/>
        </right>
        <top style="thin">
          <color auto="1"/>
        </top>
        <bottom style="thin">
          <color auto="1"/>
        </bottom>
        <vertical/>
        <horizontal/>
      </border>
    </dxf>
    <dxf>
      <fill>
        <patternFill patternType="darkGrid"/>
      </fill>
      <border>
        <left style="thin">
          <color auto="1"/>
        </left>
        <right style="thin">
          <color auto="1"/>
        </right>
        <top style="thin">
          <color auto="1"/>
        </top>
        <bottom style="thin">
          <color auto="1"/>
        </bottom>
        <vertical/>
        <horizontal/>
      </border>
    </dxf>
    <dxf>
      <font>
        <b val="0"/>
        <i/>
        <color rgb="FF002060"/>
      </font>
    </dxf>
    <dxf>
      <fill>
        <patternFill>
          <bgColor theme="0" tint="-0.14996795556505021"/>
        </patternFill>
      </fill>
    </dxf>
    <dxf>
      <fill>
        <patternFill>
          <bgColor rgb="FFFFCCCC"/>
        </patternFill>
      </fill>
    </dxf>
    <dxf>
      <font>
        <b val="0"/>
        <i/>
        <strike/>
        <color theme="0" tint="-0.499984740745262"/>
      </font>
    </dxf>
    <dxf>
      <font>
        <b val="0"/>
        <i/>
        <strike/>
        <color theme="0" tint="-0.499984740745262"/>
      </font>
    </dxf>
    <dxf>
      <fill>
        <patternFill>
          <bgColor rgb="FFFFCCCC"/>
        </patternFill>
      </fill>
    </dxf>
    <dxf>
      <fill>
        <patternFill patternType="darkGrid"/>
      </fill>
      <border>
        <left style="thin">
          <color auto="1"/>
        </left>
        <right style="thin">
          <color auto="1"/>
        </right>
        <top style="thin">
          <color auto="1"/>
        </top>
        <bottom style="thin">
          <color auto="1"/>
        </bottom>
        <vertical/>
        <horizontal/>
      </border>
    </dxf>
    <dxf>
      <fill>
        <patternFill patternType="darkGrid"/>
      </fill>
      <border>
        <left style="thin">
          <color auto="1"/>
        </left>
        <right style="thin">
          <color auto="1"/>
        </right>
        <top style="thin">
          <color auto="1"/>
        </top>
        <bottom style="thin">
          <color auto="1"/>
        </bottom>
      </border>
    </dxf>
    <dxf>
      <fill>
        <patternFill>
          <bgColor rgb="FFFFCCCC"/>
        </patternFill>
      </fill>
    </dxf>
    <dxf>
      <fill>
        <patternFill patternType="darkGrid"/>
      </fill>
      <border>
        <left style="thin">
          <color auto="1"/>
        </left>
        <right style="thin">
          <color auto="1"/>
        </right>
        <top style="thin">
          <color auto="1"/>
        </top>
        <bottom style="thin">
          <color auto="1"/>
        </bottom>
        <vertical/>
        <horizontal/>
      </border>
    </dxf>
    <dxf>
      <fill>
        <patternFill patternType="darkGrid"/>
      </fill>
      <border>
        <left style="thin">
          <color auto="1"/>
        </left>
        <right style="thin">
          <color auto="1"/>
        </right>
        <top style="thin">
          <color auto="1"/>
        </top>
        <bottom style="thin">
          <color auto="1"/>
        </bottom>
        <vertical/>
        <horizontal/>
      </border>
    </dxf>
    <dxf>
      <fill>
        <patternFill>
          <bgColor rgb="FFFFCCCC"/>
        </patternFill>
      </fill>
    </dxf>
    <dxf>
      <fill>
        <patternFill patternType="darkGrid"/>
      </fill>
      <border>
        <left style="thin">
          <color auto="1"/>
        </left>
        <right style="thin">
          <color auto="1"/>
        </right>
        <top style="thin">
          <color auto="1"/>
        </top>
        <bottom style="thin">
          <color auto="1"/>
        </bottom>
        <vertical/>
        <horizontal/>
      </border>
    </dxf>
    <dxf>
      <fill>
        <patternFill patternType="darkGrid"/>
      </fill>
      <border>
        <left style="thin">
          <color auto="1"/>
        </left>
        <right style="thin">
          <color auto="1"/>
        </right>
        <top style="thin">
          <color auto="1"/>
        </top>
        <bottom style="thin">
          <color auto="1"/>
        </bottom>
        <vertical/>
        <horizontal/>
      </border>
    </dxf>
    <dxf>
      <fill>
        <patternFill patternType="darkGrid"/>
      </fill>
      <border>
        <left style="thin">
          <color auto="1"/>
        </left>
        <right style="thin">
          <color auto="1"/>
        </right>
        <top style="thin">
          <color auto="1"/>
        </top>
        <bottom style="thin">
          <color auto="1"/>
        </bottom>
        <vertical/>
        <horizontal/>
      </border>
    </dxf>
    <dxf>
      <fill>
        <patternFill patternType="darkGrid"/>
      </fill>
      <border>
        <left style="thin">
          <color auto="1"/>
        </left>
        <right style="thin">
          <color auto="1"/>
        </right>
        <top style="thin">
          <color auto="1"/>
        </top>
        <bottom style="thin">
          <color auto="1"/>
        </bottom>
        <vertical/>
        <horizontal/>
      </border>
    </dxf>
    <dxf>
      <font>
        <b val="0"/>
        <i/>
        <strike/>
        <color theme="0" tint="-0.499984740745262"/>
      </font>
    </dxf>
    <dxf>
      <font>
        <b val="0"/>
        <i/>
        <strike/>
        <color theme="0" tint="-0.499984740745262"/>
      </font>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b val="0"/>
        <i/>
        <color rgb="FFC00000"/>
      </font>
    </dxf>
    <dxf>
      <font>
        <b val="0"/>
        <i/>
        <color rgb="FFC00000"/>
      </font>
    </dxf>
    <dxf>
      <font>
        <b val="0"/>
        <i/>
        <color rgb="FFC00000"/>
      </font>
    </dxf>
    <dxf>
      <font>
        <b val="0"/>
        <i/>
        <color rgb="FFC00000"/>
      </font>
    </dxf>
    <dxf>
      <font>
        <b val="0"/>
        <i/>
        <color rgb="FF9C0006"/>
      </font>
      <fill>
        <patternFill>
          <bgColor rgb="FFFFC7CE"/>
        </patternFill>
      </fill>
    </dxf>
    <dxf>
      <fill>
        <patternFill>
          <bgColor rgb="FFFFCCCC"/>
        </patternFill>
      </fill>
    </dxf>
    <dxf>
      <fill>
        <patternFill>
          <bgColor rgb="FFFFCCCC"/>
        </patternFill>
      </fill>
    </dxf>
    <dxf>
      <fill>
        <patternFill patternType="darkGrid"/>
      </fill>
      <border>
        <left style="thin">
          <color auto="1"/>
        </left>
        <right style="thin">
          <color auto="1"/>
        </right>
        <top style="thin">
          <color auto="1"/>
        </top>
        <bottom style="thin">
          <color auto="1"/>
        </bottom>
        <vertical/>
        <horizontal/>
      </border>
    </dxf>
    <dxf>
      <fill>
        <patternFill patternType="darkGrid"/>
      </fill>
      <border>
        <left style="thin">
          <color auto="1"/>
        </left>
        <right style="thin">
          <color auto="1"/>
        </right>
        <top style="thin">
          <color auto="1"/>
        </top>
        <bottom style="thin">
          <color auto="1"/>
        </bottom>
        <vertical/>
        <horizontal/>
      </border>
    </dxf>
    <dxf>
      <fill>
        <patternFill>
          <bgColor rgb="FFFFCCCC"/>
        </patternFill>
      </fill>
    </dxf>
    <dxf>
      <fill>
        <patternFill patternType="darkGrid"/>
      </fill>
      <border>
        <left style="thin">
          <color auto="1"/>
        </left>
        <right style="thin">
          <color auto="1"/>
        </right>
        <top style="thin">
          <color auto="1"/>
        </top>
        <bottom style="thin">
          <color auto="1"/>
        </bottom>
        <vertical/>
        <horizontal/>
      </border>
    </dxf>
    <dxf>
      <fill>
        <patternFill patternType="darkGrid"/>
      </fill>
      <border>
        <left style="thin">
          <color auto="1"/>
        </left>
        <right style="thin">
          <color auto="1"/>
        </right>
        <top style="thin">
          <color auto="1"/>
        </top>
        <bottom style="thin">
          <color auto="1"/>
        </bottom>
        <vertical/>
        <horizontal/>
      </border>
    </dxf>
    <dxf>
      <font>
        <b val="0"/>
        <i/>
        <strike/>
        <color theme="0" tint="-0.499984740745262"/>
      </font>
    </dxf>
    <dxf>
      <fill>
        <patternFill>
          <bgColor rgb="FFFFCCC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CCC"/>
        </patternFill>
      </fill>
    </dxf>
    <dxf>
      <fill>
        <patternFill patternType="darkGrid"/>
      </fill>
      <border>
        <left style="thin">
          <color auto="1"/>
        </left>
        <right style="thin">
          <color auto="1"/>
        </right>
        <top style="thin">
          <color auto="1"/>
        </top>
        <bottom style="thin">
          <color auto="1"/>
        </bottom>
        <vertical/>
        <horizontal/>
      </border>
    </dxf>
    <dxf>
      <fill>
        <patternFill patternType="darkGrid"/>
      </fill>
      <border>
        <left style="thin">
          <color auto="1"/>
        </left>
        <right style="thin">
          <color auto="1"/>
        </right>
        <top style="thin">
          <color auto="1"/>
        </top>
        <bottom style="thin">
          <color auto="1"/>
        </bottom>
        <vertical/>
        <horizontal/>
      </border>
    </dxf>
    <dxf>
      <fill>
        <patternFill patternType="darkGrid"/>
      </fill>
      <border>
        <left style="thin">
          <color auto="1"/>
        </left>
        <right style="thin">
          <color auto="1"/>
        </right>
        <top style="thin">
          <color auto="1"/>
        </top>
        <bottom style="thin">
          <color auto="1"/>
        </bottom>
        <vertical/>
        <horizontal/>
      </border>
    </dxf>
    <dxf>
      <fill>
        <patternFill patternType="darkGrid"/>
      </fill>
      <border>
        <left style="thin">
          <color auto="1"/>
        </left>
        <right style="thin">
          <color auto="1"/>
        </right>
        <top style="thin">
          <color auto="1"/>
        </top>
        <bottom style="thin">
          <color auto="1"/>
        </bottom>
        <vertical/>
        <horizontal/>
      </border>
    </dxf>
    <dxf>
      <fill>
        <patternFill patternType="darkGrid"/>
      </fill>
      <border>
        <left style="thin">
          <color auto="1"/>
        </left>
        <right style="thin">
          <color auto="1"/>
        </right>
        <top style="thin">
          <color auto="1"/>
        </top>
        <bottom style="thin">
          <color auto="1"/>
        </bottom>
        <vertical/>
        <horizontal/>
      </border>
    </dxf>
    <dxf>
      <fill>
        <patternFill patternType="darkGrid"/>
      </fill>
      <border>
        <left style="thin">
          <color auto="1"/>
        </left>
        <right style="thin">
          <color auto="1"/>
        </right>
        <top style="thin">
          <color auto="1"/>
        </top>
        <bottom style="thin">
          <color auto="1"/>
        </bottom>
        <vertical/>
        <horizontal/>
      </border>
    </dxf>
    <dxf>
      <font>
        <b val="0"/>
        <i/>
        <strike/>
        <color theme="0" tint="-0.499984740745262"/>
      </font>
    </dxf>
    <dxf>
      <font>
        <b val="0"/>
        <i/>
        <strike/>
        <color theme="0" tint="-0.499984740745262"/>
      </font>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C00000"/>
      </font>
    </dxf>
    <dxf>
      <fill>
        <patternFill>
          <bgColor rgb="FFFFCCCC"/>
        </patternFill>
      </fill>
    </dxf>
    <dxf>
      <font>
        <color rgb="FFC00000"/>
      </font>
    </dxf>
    <dxf>
      <font>
        <color rgb="FF9C0006"/>
      </font>
    </dxf>
    <dxf>
      <font>
        <color rgb="FF9C0006"/>
      </font>
    </dxf>
    <dxf>
      <font>
        <color rgb="FF9C0006"/>
      </font>
    </dxf>
    <dxf>
      <font>
        <color rgb="FF9C0006"/>
      </font>
    </dxf>
    <dxf>
      <font>
        <b/>
        <i val="0"/>
      </font>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theme="7" tint="-0.24994659260841701"/>
        </patternFill>
      </fill>
    </dxf>
    <dxf>
      <fill>
        <patternFill>
          <bgColor theme="7" tint="0.39994506668294322"/>
        </patternFill>
      </fill>
    </dxf>
    <dxf>
      <fill>
        <patternFill>
          <bgColor theme="4" tint="0.39994506668294322"/>
        </patternFill>
      </fill>
    </dxf>
    <dxf>
      <font>
        <color theme="0"/>
      </font>
      <fill>
        <patternFill>
          <bgColor rgb="FF0070C0"/>
        </patternFill>
      </fill>
    </dxf>
    <dxf>
      <fill>
        <patternFill>
          <bgColor rgb="FF92D050"/>
        </patternFill>
      </fill>
    </dxf>
    <dxf>
      <font>
        <color theme="0"/>
      </font>
      <fill>
        <patternFill>
          <bgColor rgb="FF00B050"/>
        </patternFill>
      </fill>
    </dxf>
    <dxf>
      <font>
        <color theme="0"/>
      </font>
      <fill>
        <patternFill>
          <bgColor rgb="FF00B050"/>
        </patternFill>
      </fill>
    </dxf>
    <dxf>
      <fill>
        <patternFill>
          <bgColor rgb="FF92D050"/>
        </patternFill>
      </fill>
    </dxf>
    <dxf>
      <font>
        <color theme="0"/>
      </font>
      <fill>
        <patternFill>
          <bgColor rgb="FF0070C0"/>
        </patternFill>
      </fill>
    </dxf>
    <dxf>
      <fill>
        <patternFill>
          <bgColor theme="4" tint="0.39994506668294322"/>
        </patternFill>
      </fill>
    </dxf>
    <dxf>
      <fill>
        <patternFill>
          <bgColor theme="7" tint="0.39994506668294322"/>
        </patternFill>
      </fill>
    </dxf>
    <dxf>
      <fill>
        <patternFill>
          <bgColor theme="7" tint="-0.24994659260841701"/>
        </patternFill>
      </fill>
    </dxf>
    <dxf>
      <font>
        <color theme="0"/>
      </font>
      <fill>
        <patternFill>
          <bgColor rgb="FFFF0000"/>
        </patternFill>
      </fill>
    </dxf>
    <dxf>
      <font>
        <color theme="0"/>
      </font>
      <fill>
        <patternFill>
          <bgColor rgb="FFC00000"/>
        </patternFill>
      </fill>
    </dxf>
    <dxf>
      <fill>
        <patternFill>
          <bgColor rgb="FFFFCCCC"/>
        </patternFill>
      </fill>
    </dxf>
    <dxf>
      <font>
        <color theme="0"/>
      </font>
      <fill>
        <patternFill>
          <bgColor rgb="FFC00000"/>
        </patternFill>
      </fill>
    </dxf>
    <dxf>
      <font>
        <color theme="0"/>
      </font>
      <fill>
        <patternFill>
          <bgColor rgb="FFFF0000"/>
        </patternFill>
      </fill>
    </dxf>
    <dxf>
      <fill>
        <patternFill>
          <bgColor theme="7" tint="-0.24994659260841701"/>
        </patternFill>
      </fill>
    </dxf>
    <dxf>
      <fill>
        <patternFill>
          <bgColor theme="7" tint="0.39994506668294322"/>
        </patternFill>
      </fill>
    </dxf>
    <dxf>
      <fill>
        <patternFill>
          <bgColor theme="4" tint="0.39994506668294322"/>
        </patternFill>
      </fill>
    </dxf>
    <dxf>
      <font>
        <color theme="0"/>
      </font>
      <fill>
        <patternFill>
          <bgColor rgb="FF0070C0"/>
        </patternFill>
      </fill>
    </dxf>
    <dxf>
      <font>
        <color auto="1"/>
      </font>
      <fill>
        <patternFill>
          <bgColor rgb="FF92D050"/>
        </patternFill>
      </fill>
    </dxf>
    <dxf>
      <font>
        <color theme="0"/>
      </font>
      <fill>
        <patternFill>
          <bgColor rgb="FF00B050"/>
        </patternFill>
      </fill>
    </dxf>
    <dxf>
      <fill>
        <patternFill patternType="darkGrid"/>
      </fill>
    </dxf>
    <dxf>
      <fill>
        <patternFill patternType="darkGrid"/>
      </fill>
    </dxf>
    <dxf>
      <fill>
        <patternFill patternType="darkGrid"/>
      </fill>
    </dxf>
    <dxf>
      <fill>
        <patternFill patternType="darkGrid"/>
      </fill>
    </dxf>
    <dxf>
      <fill>
        <patternFill patternType="darkGrid"/>
      </fill>
    </dxf>
    <dxf>
      <fill>
        <patternFill patternType="darkGrid"/>
      </fill>
    </dxf>
    <dxf>
      <font>
        <b val="0"/>
        <i val="0"/>
      </font>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Agent Probability Calculator'!A1"/><Relationship Id="rId2" Type="http://schemas.openxmlformats.org/officeDocument/2006/relationships/hyperlink" Target="#'Kingdom Traits Matrix'!A1"/><Relationship Id="rId1" Type="http://schemas.openxmlformats.org/officeDocument/2006/relationships/hyperlink" Target="#'Status Points'!A1"/><Relationship Id="rId6" Type="http://schemas.openxmlformats.org/officeDocument/2006/relationships/hyperlink" Target="#'Unusual Sighting Calculator'!A1"/><Relationship Id="rId5" Type="http://schemas.openxmlformats.org/officeDocument/2006/relationships/hyperlink" Target="#'320-330 Calculator'!A1"/><Relationship Id="rId4" Type="http://schemas.openxmlformats.org/officeDocument/2006/relationships/hyperlink" Target="#'170-171 Calculator'!A1"/></Relationships>
</file>

<file path=xl/drawings/drawing1.xml><?xml version="1.0" encoding="utf-8"?>
<xdr:wsDr xmlns:xdr="http://schemas.openxmlformats.org/drawingml/2006/spreadsheetDrawing" xmlns:a="http://schemas.openxmlformats.org/drawingml/2006/main">
  <xdr:twoCellAnchor>
    <xdr:from>
      <xdr:col>11</xdr:col>
      <xdr:colOff>920443</xdr:colOff>
      <xdr:row>40</xdr:row>
      <xdr:rowOff>188369</xdr:rowOff>
    </xdr:from>
    <xdr:to>
      <xdr:col>14</xdr:col>
      <xdr:colOff>974044</xdr:colOff>
      <xdr:row>43</xdr:row>
      <xdr:rowOff>101501</xdr:rowOff>
    </xdr:to>
    <xdr:sp macro="" textlink="">
      <xdr:nvSpPr>
        <xdr:cNvPr id="7" name="Right Arrow 6">
          <a:hlinkClick xmlns:r="http://schemas.openxmlformats.org/officeDocument/2006/relationships" r:id="rId1"/>
        </xdr:cNvPr>
        <xdr:cNvSpPr/>
      </xdr:nvSpPr>
      <xdr:spPr>
        <a:xfrm>
          <a:off x="9217776" y="7490869"/>
          <a:ext cx="2096185" cy="505799"/>
        </a:xfrm>
        <a:prstGeom prst="rightArrow">
          <a:avLst/>
        </a:prstGeom>
        <a:solidFill>
          <a:srgbClr val="C00000"/>
        </a:solidFill>
        <a:ln w="158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0" rtlCol="0" anchor="ctr" anchorCtr="0"/>
        <a:lstStyle/>
        <a:p>
          <a:pPr algn="ctr"/>
          <a:r>
            <a:rPr lang="en-US" sz="1100" b="1"/>
            <a:t>Status Points</a:t>
          </a:r>
        </a:p>
      </xdr:txBody>
    </xdr:sp>
    <xdr:clientData/>
  </xdr:twoCellAnchor>
  <xdr:twoCellAnchor>
    <xdr:from>
      <xdr:col>10</xdr:col>
      <xdr:colOff>348937</xdr:colOff>
      <xdr:row>40</xdr:row>
      <xdr:rowOff>188369</xdr:rowOff>
    </xdr:from>
    <xdr:to>
      <xdr:col>13</xdr:col>
      <xdr:colOff>180289</xdr:colOff>
      <xdr:row>43</xdr:row>
      <xdr:rowOff>101501</xdr:rowOff>
    </xdr:to>
    <xdr:sp macro="" textlink="">
      <xdr:nvSpPr>
        <xdr:cNvPr id="6" name="Right Arrow 5">
          <a:hlinkClick xmlns:r="http://schemas.openxmlformats.org/officeDocument/2006/relationships" r:id="rId2"/>
        </xdr:cNvPr>
        <xdr:cNvSpPr/>
      </xdr:nvSpPr>
      <xdr:spPr>
        <a:xfrm>
          <a:off x="7429187" y="7490869"/>
          <a:ext cx="2096185" cy="505799"/>
        </a:xfrm>
        <a:prstGeom prst="rightArrow">
          <a:avLst/>
        </a:prstGeom>
        <a:solidFill>
          <a:schemeClr val="accent1">
            <a:lumMod val="40000"/>
            <a:lumOff val="60000"/>
          </a:schemeClr>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0" rtlCol="0" anchor="ctr" anchorCtr="0"/>
        <a:lstStyle/>
        <a:p>
          <a:pPr algn="ctr"/>
          <a:r>
            <a:rPr lang="en-US" sz="1100" b="1">
              <a:solidFill>
                <a:sysClr val="windowText" lastClr="000000"/>
              </a:solidFill>
            </a:rPr>
            <a:t>Kingdom Triats Matrix</a:t>
          </a:r>
        </a:p>
      </xdr:txBody>
    </xdr:sp>
    <xdr:clientData/>
  </xdr:twoCellAnchor>
  <xdr:twoCellAnchor>
    <xdr:from>
      <xdr:col>7</xdr:col>
      <xdr:colOff>762264</xdr:colOff>
      <xdr:row>40</xdr:row>
      <xdr:rowOff>188369</xdr:rowOff>
    </xdr:from>
    <xdr:to>
      <xdr:col>10</xdr:col>
      <xdr:colOff>614677</xdr:colOff>
      <xdr:row>43</xdr:row>
      <xdr:rowOff>101501</xdr:rowOff>
    </xdr:to>
    <xdr:sp macro="" textlink="">
      <xdr:nvSpPr>
        <xdr:cNvPr id="5" name="Right Arrow 4">
          <a:hlinkClick xmlns:r="http://schemas.openxmlformats.org/officeDocument/2006/relationships" r:id="rId3"/>
        </xdr:cNvPr>
        <xdr:cNvSpPr/>
      </xdr:nvSpPr>
      <xdr:spPr>
        <a:xfrm>
          <a:off x="5588264" y="7490869"/>
          <a:ext cx="2106663" cy="505799"/>
        </a:xfrm>
        <a:prstGeom prst="rightArrow">
          <a:avLst/>
        </a:prstGeom>
        <a:solidFill>
          <a:schemeClr val="tx1"/>
        </a:solidFill>
        <a:ln w="158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0" rtlCol="0" anchor="ctr" anchorCtr="0"/>
        <a:lstStyle/>
        <a:p>
          <a:pPr algn="ctr"/>
          <a:r>
            <a:rPr lang="en-US" sz="1050" b="1"/>
            <a:t>Agent Probability Calc.</a:t>
          </a:r>
        </a:p>
      </xdr:txBody>
    </xdr:sp>
    <xdr:clientData/>
  </xdr:twoCellAnchor>
  <xdr:twoCellAnchor>
    <xdr:from>
      <xdr:col>5</xdr:col>
      <xdr:colOff>1037429</xdr:colOff>
      <xdr:row>40</xdr:row>
      <xdr:rowOff>188369</xdr:rowOff>
    </xdr:from>
    <xdr:to>
      <xdr:col>7</xdr:col>
      <xdr:colOff>942759</xdr:colOff>
      <xdr:row>43</xdr:row>
      <xdr:rowOff>101501</xdr:rowOff>
    </xdr:to>
    <xdr:sp macro="" textlink="">
      <xdr:nvSpPr>
        <xdr:cNvPr id="4" name="Right Arrow 3">
          <a:hlinkClick xmlns:r="http://schemas.openxmlformats.org/officeDocument/2006/relationships" r:id="rId4"/>
        </xdr:cNvPr>
        <xdr:cNvSpPr/>
      </xdr:nvSpPr>
      <xdr:spPr>
        <a:xfrm>
          <a:off x="3662096" y="7490869"/>
          <a:ext cx="2106663" cy="505799"/>
        </a:xfrm>
        <a:prstGeom prst="rightArrow">
          <a:avLst/>
        </a:prstGeom>
        <a:solidFill>
          <a:srgbClr val="00B050"/>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0" rtlCol="0" anchor="ctr" anchorCtr="0"/>
        <a:lstStyle/>
        <a:p>
          <a:pPr algn="ctr"/>
          <a:r>
            <a:rPr lang="en-US" sz="1100" b="1">
              <a:solidFill>
                <a:sysClr val="windowText" lastClr="000000"/>
              </a:solidFill>
            </a:rPr>
            <a:t>170/171 Calculator</a:t>
          </a:r>
        </a:p>
      </xdr:txBody>
    </xdr:sp>
    <xdr:clientData/>
  </xdr:twoCellAnchor>
  <xdr:twoCellAnchor>
    <xdr:from>
      <xdr:col>3</xdr:col>
      <xdr:colOff>433590</xdr:colOff>
      <xdr:row>40</xdr:row>
      <xdr:rowOff>188369</xdr:rowOff>
    </xdr:from>
    <xdr:to>
      <xdr:col>6</xdr:col>
      <xdr:colOff>243775</xdr:colOff>
      <xdr:row>43</xdr:row>
      <xdr:rowOff>101501</xdr:rowOff>
    </xdr:to>
    <xdr:sp macro="" textlink="">
      <xdr:nvSpPr>
        <xdr:cNvPr id="3" name="Right Arrow 2">
          <a:hlinkClick xmlns:r="http://schemas.openxmlformats.org/officeDocument/2006/relationships" r:id="rId5"/>
        </xdr:cNvPr>
        <xdr:cNvSpPr/>
      </xdr:nvSpPr>
      <xdr:spPr>
        <a:xfrm>
          <a:off x="1872923" y="7490869"/>
          <a:ext cx="2096185" cy="505799"/>
        </a:xfrm>
        <a:prstGeom prst="rightArrow">
          <a:avLst/>
        </a:prstGeom>
        <a:solidFill>
          <a:srgbClr val="0070C0"/>
        </a:solidFill>
        <a:ln w="158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0" rtlCol="0" anchor="ctr" anchorCtr="0"/>
        <a:lstStyle/>
        <a:p>
          <a:pPr algn="ctr"/>
          <a:r>
            <a:rPr lang="en-US" sz="1100" b="1"/>
            <a:t>320/330 Calculator</a:t>
          </a:r>
        </a:p>
      </xdr:txBody>
    </xdr:sp>
    <xdr:clientData/>
  </xdr:twoCellAnchor>
  <xdr:twoCellAnchor>
    <xdr:from>
      <xdr:col>1</xdr:col>
      <xdr:colOff>10251</xdr:colOff>
      <xdr:row>40</xdr:row>
      <xdr:rowOff>188369</xdr:rowOff>
    </xdr:from>
    <xdr:to>
      <xdr:col>3</xdr:col>
      <xdr:colOff>720020</xdr:colOff>
      <xdr:row>43</xdr:row>
      <xdr:rowOff>101501</xdr:rowOff>
    </xdr:to>
    <xdr:sp macro="" textlink="">
      <xdr:nvSpPr>
        <xdr:cNvPr id="2" name="Right Arrow 1">
          <a:hlinkClick xmlns:r="http://schemas.openxmlformats.org/officeDocument/2006/relationships" r:id="rId6"/>
        </xdr:cNvPr>
        <xdr:cNvSpPr/>
      </xdr:nvSpPr>
      <xdr:spPr>
        <a:xfrm>
          <a:off x="63168" y="7490869"/>
          <a:ext cx="2096185" cy="505799"/>
        </a:xfrm>
        <a:prstGeom prst="rightArrow">
          <a:avLst/>
        </a:prstGeom>
        <a:solidFill>
          <a:srgbClr val="7030A0"/>
        </a:solidFill>
        <a:ln w="158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0" rtlCol="0" anchor="ctr" anchorCtr="0"/>
        <a:lstStyle/>
        <a:p>
          <a:pPr algn="ctr"/>
          <a:r>
            <a:rPr lang="en-US" sz="1100" b="1">
              <a:solidFill>
                <a:schemeClr val="bg1"/>
              </a:solidFill>
            </a:rPr>
            <a:t>Unusual Sighting Calculator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499984740745262"/>
  </sheetPr>
  <dimension ref="A1:P49"/>
  <sheetViews>
    <sheetView showGridLines="0" showRowColHeaders="0" tabSelected="1" zoomScale="90" zoomScaleNormal="90" workbookViewId="0"/>
  </sheetViews>
  <sheetFormatPr defaultColWidth="14.85546875" defaultRowHeight="15" x14ac:dyDescent="0.25"/>
  <cols>
    <col min="1" max="1" width="0.85546875" style="176" customWidth="1"/>
    <col min="2" max="2" width="4.5703125" style="176" customWidth="1"/>
    <col min="3" max="3" width="16.140625" style="176" customWidth="1"/>
    <col min="4" max="4" width="17" style="176" customWidth="1"/>
    <col min="5" max="5" width="0.85546875" style="176" customWidth="1"/>
    <col min="6" max="9" width="16.42578125" style="176" customWidth="1"/>
    <col min="10" max="10" width="0.85546875" style="176" customWidth="1"/>
    <col min="11" max="11" width="18.28515625" style="176" bestFit="1" customWidth="1"/>
    <col min="12" max="12" width="14.85546875" style="176"/>
    <col min="13" max="13" width="0.85546875" style="176" customWidth="1"/>
    <col min="14" max="15" width="14.85546875" style="176"/>
    <col min="16" max="16" width="0.85546875" style="176" customWidth="1"/>
    <col min="17" max="16384" width="14.85546875" style="176"/>
  </cols>
  <sheetData>
    <row r="1" spans="1:16" ht="27.95" customHeight="1" thickBot="1" x14ac:dyDescent="0.3">
      <c r="B1" s="623" t="s">
        <v>415</v>
      </c>
      <c r="C1" s="623"/>
      <c r="D1" s="623"/>
      <c r="E1" s="623"/>
      <c r="F1" s="623"/>
      <c r="G1" s="623"/>
      <c r="H1" s="623"/>
      <c r="I1" s="623"/>
      <c r="J1" s="623"/>
      <c r="K1" s="623"/>
      <c r="L1" s="623"/>
      <c r="M1" s="623"/>
      <c r="N1" s="623"/>
      <c r="O1" s="623"/>
      <c r="P1" s="177"/>
    </row>
    <row r="2" spans="1:16" ht="15.75" thickTop="1" x14ac:dyDescent="0.25">
      <c r="A2" s="178"/>
      <c r="B2" s="605" t="s">
        <v>416</v>
      </c>
      <c r="C2" s="606"/>
      <c r="D2" s="607"/>
      <c r="E2" s="178"/>
      <c r="F2" s="605" t="s">
        <v>417</v>
      </c>
      <c r="G2" s="606"/>
      <c r="H2" s="606"/>
      <c r="I2" s="607"/>
      <c r="J2" s="178"/>
      <c r="K2" s="605" t="s">
        <v>418</v>
      </c>
      <c r="L2" s="607"/>
      <c r="M2" s="178"/>
      <c r="N2" s="605" t="s">
        <v>419</v>
      </c>
      <c r="O2" s="607"/>
      <c r="P2" s="178"/>
    </row>
    <row r="3" spans="1:16" ht="15.75" x14ac:dyDescent="0.25">
      <c r="B3" s="608"/>
      <c r="C3" s="609"/>
      <c r="D3" s="610"/>
      <c r="E3" s="179"/>
      <c r="F3" s="608"/>
      <c r="G3" s="609"/>
      <c r="H3" s="609"/>
      <c r="I3" s="610"/>
      <c r="K3" s="608"/>
      <c r="L3" s="610"/>
      <c r="N3" s="608"/>
      <c r="O3" s="610"/>
    </row>
    <row r="4" spans="1:16" x14ac:dyDescent="0.25">
      <c r="B4" s="624" t="s">
        <v>420</v>
      </c>
      <c r="C4" s="617" t="s">
        <v>421</v>
      </c>
      <c r="D4" s="615"/>
      <c r="E4" s="180"/>
      <c r="F4" s="181" t="s">
        <v>422</v>
      </c>
      <c r="G4" s="182" t="s">
        <v>423</v>
      </c>
      <c r="H4" s="182" t="s">
        <v>424</v>
      </c>
      <c r="I4" s="183" t="s">
        <v>425</v>
      </c>
      <c r="K4" s="616" t="s">
        <v>426</v>
      </c>
      <c r="L4" s="615" t="s">
        <v>427</v>
      </c>
      <c r="N4" s="616" t="s">
        <v>428</v>
      </c>
      <c r="O4" s="615" t="s">
        <v>429</v>
      </c>
    </row>
    <row r="5" spans="1:16" x14ac:dyDescent="0.25">
      <c r="B5" s="624"/>
      <c r="C5" s="617"/>
      <c r="D5" s="615"/>
      <c r="E5" s="180"/>
      <c r="F5" s="184" t="s">
        <v>430</v>
      </c>
      <c r="G5" s="185">
        <v>1</v>
      </c>
      <c r="H5" s="185">
        <v>1</v>
      </c>
      <c r="I5" s="186">
        <v>1</v>
      </c>
      <c r="K5" s="616"/>
      <c r="L5" s="615"/>
      <c r="N5" s="616"/>
      <c r="O5" s="615"/>
    </row>
    <row r="6" spans="1:16" x14ac:dyDescent="0.25">
      <c r="B6" s="187">
        <v>1</v>
      </c>
      <c r="C6" s="611" t="s">
        <v>431</v>
      </c>
      <c r="D6" s="612"/>
      <c r="E6" s="180"/>
      <c r="F6" s="184" t="s">
        <v>432</v>
      </c>
      <c r="G6" s="185">
        <v>1</v>
      </c>
      <c r="H6" s="185">
        <v>0.5</v>
      </c>
      <c r="I6" s="186">
        <v>0.5</v>
      </c>
      <c r="K6" s="184" t="s">
        <v>347</v>
      </c>
      <c r="L6" s="186">
        <v>0.05</v>
      </c>
      <c r="N6" s="188">
        <v>0</v>
      </c>
      <c r="O6" s="189" t="s">
        <v>433</v>
      </c>
    </row>
    <row r="7" spans="1:16" x14ac:dyDescent="0.25">
      <c r="B7" s="187">
        <v>2</v>
      </c>
      <c r="C7" s="611" t="s">
        <v>434</v>
      </c>
      <c r="D7" s="612"/>
      <c r="E7" s="190"/>
      <c r="F7" s="184" t="s">
        <v>435</v>
      </c>
      <c r="G7" s="185">
        <v>1</v>
      </c>
      <c r="H7" s="185">
        <v>0.25</v>
      </c>
      <c r="I7" s="186">
        <v>0.5</v>
      </c>
      <c r="K7" s="184" t="s">
        <v>23</v>
      </c>
      <c r="L7" s="186">
        <v>0.06</v>
      </c>
      <c r="N7" s="191" t="s">
        <v>436</v>
      </c>
      <c r="O7" s="189" t="s">
        <v>437</v>
      </c>
    </row>
    <row r="8" spans="1:16" x14ac:dyDescent="0.25">
      <c r="B8" s="187">
        <v>3</v>
      </c>
      <c r="C8" s="611" t="s">
        <v>438</v>
      </c>
      <c r="D8" s="612"/>
      <c r="E8" s="192"/>
      <c r="F8" s="184" t="s">
        <v>439</v>
      </c>
      <c r="G8" s="185">
        <v>1</v>
      </c>
      <c r="H8" s="185">
        <v>1</v>
      </c>
      <c r="I8" s="186">
        <v>1</v>
      </c>
      <c r="K8" s="184" t="s">
        <v>344</v>
      </c>
      <c r="L8" s="186">
        <v>7.0000000000000007E-2</v>
      </c>
      <c r="N8" s="191" t="s">
        <v>440</v>
      </c>
      <c r="O8" s="189" t="s">
        <v>374</v>
      </c>
    </row>
    <row r="9" spans="1:16" x14ac:dyDescent="0.25">
      <c r="B9" s="187">
        <v>4</v>
      </c>
      <c r="C9" s="611" t="s">
        <v>441</v>
      </c>
      <c r="D9" s="612"/>
      <c r="E9" s="193"/>
      <c r="F9" s="184" t="s">
        <v>442</v>
      </c>
      <c r="G9" s="185">
        <v>1</v>
      </c>
      <c r="H9" s="185">
        <v>0.5</v>
      </c>
      <c r="I9" s="186">
        <v>1</v>
      </c>
      <c r="K9" s="184" t="s">
        <v>26</v>
      </c>
      <c r="L9" s="186">
        <v>0.1</v>
      </c>
      <c r="N9" s="191" t="s">
        <v>443</v>
      </c>
      <c r="O9" s="189" t="s">
        <v>373</v>
      </c>
    </row>
    <row r="10" spans="1:16" x14ac:dyDescent="0.25">
      <c r="B10" s="187">
        <v>5</v>
      </c>
      <c r="C10" s="611" t="s">
        <v>444</v>
      </c>
      <c r="D10" s="612"/>
      <c r="E10" s="193"/>
      <c r="F10" s="184" t="s">
        <v>445</v>
      </c>
      <c r="G10" s="185">
        <v>1</v>
      </c>
      <c r="H10" s="185">
        <v>0.5</v>
      </c>
      <c r="I10" s="186">
        <v>1</v>
      </c>
      <c r="K10" s="184" t="s">
        <v>341</v>
      </c>
      <c r="L10" s="186">
        <v>0.11</v>
      </c>
      <c r="N10" s="191" t="s">
        <v>446</v>
      </c>
      <c r="O10" s="189" t="s">
        <v>372</v>
      </c>
    </row>
    <row r="11" spans="1:16" ht="15.75" thickBot="1" x14ac:dyDescent="0.3">
      <c r="B11" s="187">
        <v>6</v>
      </c>
      <c r="C11" s="611" t="s">
        <v>447</v>
      </c>
      <c r="D11" s="612"/>
      <c r="E11" s="193"/>
      <c r="F11" s="184" t="s">
        <v>448</v>
      </c>
      <c r="G11" s="618" t="s">
        <v>449</v>
      </c>
      <c r="H11" s="619"/>
      <c r="I11" s="620"/>
      <c r="K11" s="184" t="s">
        <v>339</v>
      </c>
      <c r="L11" s="186">
        <v>0.12</v>
      </c>
      <c r="N11" s="194"/>
      <c r="O11" s="195"/>
    </row>
    <row r="12" spans="1:16" ht="16.5" thickTop="1" thickBot="1" x14ac:dyDescent="0.3">
      <c r="B12" s="187">
        <v>7</v>
      </c>
      <c r="C12" s="611" t="s">
        <v>450</v>
      </c>
      <c r="D12" s="612"/>
      <c r="E12" s="193"/>
      <c r="F12" s="196"/>
      <c r="G12" s="621"/>
      <c r="H12" s="621"/>
      <c r="I12" s="622"/>
      <c r="K12" s="184" t="s">
        <v>2</v>
      </c>
      <c r="L12" s="186">
        <v>0.15</v>
      </c>
    </row>
    <row r="13" spans="1:16" ht="16.5" customHeight="1" thickTop="1" thickBot="1" x14ac:dyDescent="0.3">
      <c r="B13" s="187">
        <v>8</v>
      </c>
      <c r="C13" s="611" t="s">
        <v>451</v>
      </c>
      <c r="D13" s="612"/>
      <c r="E13" s="193"/>
      <c r="K13" s="184" t="s">
        <v>336</v>
      </c>
      <c r="L13" s="186">
        <v>0.16</v>
      </c>
      <c r="N13" s="605" t="s">
        <v>452</v>
      </c>
      <c r="O13" s="607"/>
    </row>
    <row r="14" spans="1:16" ht="15.75" customHeight="1" thickTop="1" x14ac:dyDescent="0.25">
      <c r="B14" s="187">
        <v>9</v>
      </c>
      <c r="C14" s="611" t="s">
        <v>453</v>
      </c>
      <c r="D14" s="612"/>
      <c r="E14" s="193"/>
      <c r="F14" s="605" t="s">
        <v>454</v>
      </c>
      <c r="G14" s="606"/>
      <c r="H14" s="606"/>
      <c r="I14" s="607"/>
      <c r="K14" s="184" t="s">
        <v>334</v>
      </c>
      <c r="L14" s="186">
        <v>0.17</v>
      </c>
      <c r="N14" s="608"/>
      <c r="O14" s="610"/>
    </row>
    <row r="15" spans="1:16" x14ac:dyDescent="0.25">
      <c r="B15" s="187">
        <v>10</v>
      </c>
      <c r="C15" s="611" t="s">
        <v>455</v>
      </c>
      <c r="D15" s="612"/>
      <c r="E15" s="193"/>
      <c r="F15" s="608"/>
      <c r="G15" s="609"/>
      <c r="H15" s="609"/>
      <c r="I15" s="610"/>
      <c r="K15" s="184" t="s">
        <v>29</v>
      </c>
      <c r="L15" s="186">
        <v>0.25</v>
      </c>
      <c r="N15" s="616" t="s">
        <v>456</v>
      </c>
      <c r="O15" s="615" t="s">
        <v>457</v>
      </c>
    </row>
    <row r="16" spans="1:16" ht="15.75" thickBot="1" x14ac:dyDescent="0.3">
      <c r="B16" s="187">
        <v>11</v>
      </c>
      <c r="C16" s="611" t="s">
        <v>458</v>
      </c>
      <c r="D16" s="612"/>
      <c r="E16" s="193"/>
      <c r="F16" s="616" t="s">
        <v>459</v>
      </c>
      <c r="G16" s="617" t="s">
        <v>460</v>
      </c>
      <c r="H16" s="617" t="s">
        <v>461</v>
      </c>
      <c r="I16" s="615" t="s">
        <v>462</v>
      </c>
      <c r="K16" s="194"/>
      <c r="L16" s="195"/>
      <c r="N16" s="616"/>
      <c r="O16" s="615"/>
    </row>
    <row r="17" spans="1:16" ht="16.5" thickTop="1" thickBot="1" x14ac:dyDescent="0.3">
      <c r="B17" s="187">
        <v>12</v>
      </c>
      <c r="C17" s="611" t="s">
        <v>463</v>
      </c>
      <c r="D17" s="612"/>
      <c r="E17" s="193"/>
      <c r="F17" s="616"/>
      <c r="G17" s="617"/>
      <c r="H17" s="617"/>
      <c r="I17" s="615"/>
      <c r="N17" s="184" t="s">
        <v>464</v>
      </c>
      <c r="O17" s="189" t="s">
        <v>465</v>
      </c>
    </row>
    <row r="18" spans="1:16" ht="15.75" customHeight="1" thickTop="1" x14ac:dyDescent="0.25">
      <c r="B18" s="187">
        <v>13</v>
      </c>
      <c r="C18" s="611" t="s">
        <v>466</v>
      </c>
      <c r="D18" s="612"/>
      <c r="E18" s="193"/>
      <c r="F18" s="184" t="s">
        <v>322</v>
      </c>
      <c r="G18" s="185">
        <v>0.2</v>
      </c>
      <c r="H18" s="197">
        <v>1000</v>
      </c>
      <c r="I18" s="198">
        <v>0.2</v>
      </c>
      <c r="K18" s="605" t="s">
        <v>467</v>
      </c>
      <c r="L18" s="607"/>
      <c r="N18" s="184" t="s">
        <v>468</v>
      </c>
      <c r="O18" s="189" t="s">
        <v>469</v>
      </c>
    </row>
    <row r="19" spans="1:16" x14ac:dyDescent="0.25">
      <c r="B19" s="187">
        <v>14</v>
      </c>
      <c r="C19" s="611" t="s">
        <v>470</v>
      </c>
      <c r="D19" s="612"/>
      <c r="E19" s="180"/>
      <c r="F19" s="184" t="s">
        <v>471</v>
      </c>
      <c r="G19" s="185">
        <v>0.3</v>
      </c>
      <c r="H19" s="197">
        <v>2000</v>
      </c>
      <c r="I19" s="198">
        <v>0.5</v>
      </c>
      <c r="K19" s="608"/>
      <c r="L19" s="610"/>
      <c r="N19" s="184" t="s">
        <v>472</v>
      </c>
      <c r="O19" s="189" t="s">
        <v>473</v>
      </c>
    </row>
    <row r="20" spans="1:16" x14ac:dyDescent="0.25">
      <c r="B20" s="187">
        <v>15</v>
      </c>
      <c r="C20" s="611" t="s">
        <v>474</v>
      </c>
      <c r="D20" s="612"/>
      <c r="E20" s="180"/>
      <c r="F20" s="184" t="s">
        <v>316</v>
      </c>
      <c r="G20" s="185">
        <v>0.5</v>
      </c>
      <c r="H20" s="197">
        <v>3000</v>
      </c>
      <c r="I20" s="199" t="s">
        <v>475</v>
      </c>
      <c r="K20" s="200" t="s">
        <v>476</v>
      </c>
      <c r="L20" s="183" t="s">
        <v>477</v>
      </c>
      <c r="N20" s="184" t="s">
        <v>478</v>
      </c>
      <c r="O20" s="189" t="s">
        <v>479</v>
      </c>
    </row>
    <row r="21" spans="1:16" x14ac:dyDescent="0.25">
      <c r="B21" s="187">
        <v>16</v>
      </c>
      <c r="C21" s="611" t="s">
        <v>480</v>
      </c>
      <c r="D21" s="612"/>
      <c r="E21" s="178"/>
      <c r="F21" s="184" t="s">
        <v>313</v>
      </c>
      <c r="G21" s="185">
        <v>0.6</v>
      </c>
      <c r="H21" s="197">
        <v>4000</v>
      </c>
      <c r="I21" s="199" t="s">
        <v>475</v>
      </c>
      <c r="K21" s="201" t="s">
        <v>481</v>
      </c>
      <c r="L21" s="202" t="s">
        <v>482</v>
      </c>
      <c r="N21" s="184" t="s">
        <v>483</v>
      </c>
      <c r="O21" s="189" t="s">
        <v>484</v>
      </c>
    </row>
    <row r="22" spans="1:16" x14ac:dyDescent="0.25">
      <c r="B22" s="187">
        <v>17</v>
      </c>
      <c r="C22" s="611" t="s">
        <v>485</v>
      </c>
      <c r="D22" s="612"/>
      <c r="E22" s="178"/>
      <c r="F22" s="184" t="s">
        <v>310</v>
      </c>
      <c r="G22" s="185">
        <v>0.7</v>
      </c>
      <c r="H22" s="197">
        <v>5000</v>
      </c>
      <c r="I22" s="199" t="s">
        <v>475</v>
      </c>
      <c r="J22" s="178"/>
      <c r="K22" s="613"/>
      <c r="L22" s="614"/>
      <c r="N22" s="184" t="s">
        <v>486</v>
      </c>
      <c r="O22" s="189" t="s">
        <v>487</v>
      </c>
    </row>
    <row r="23" spans="1:16" x14ac:dyDescent="0.25">
      <c r="B23" s="187">
        <v>18</v>
      </c>
      <c r="C23" s="611" t="s">
        <v>488</v>
      </c>
      <c r="D23" s="612"/>
      <c r="E23" s="178"/>
      <c r="F23" s="184" t="s">
        <v>307</v>
      </c>
      <c r="G23" s="185">
        <v>0.8</v>
      </c>
      <c r="H23" s="197">
        <v>6000</v>
      </c>
      <c r="I23" s="199" t="s">
        <v>475</v>
      </c>
      <c r="K23" s="613" t="s">
        <v>489</v>
      </c>
      <c r="L23" s="614"/>
      <c r="N23" s="203"/>
      <c r="O23" s="202"/>
    </row>
    <row r="24" spans="1:16" ht="9.9499999999999993" customHeight="1" thickBot="1" x14ac:dyDescent="0.3">
      <c r="B24" s="204"/>
      <c r="C24" s="205"/>
      <c r="D24" s="195"/>
      <c r="E24" s="178"/>
      <c r="F24" s="194"/>
      <c r="G24" s="205"/>
      <c r="H24" s="205"/>
      <c r="I24" s="195"/>
      <c r="K24" s="194"/>
      <c r="L24" s="195"/>
      <c r="N24" s="194"/>
      <c r="O24" s="195"/>
    </row>
    <row r="25" spans="1:16" ht="5.0999999999999996" customHeight="1" thickTop="1" thickBot="1" x14ac:dyDescent="0.3">
      <c r="E25" s="178"/>
      <c r="H25" s="178"/>
    </row>
    <row r="26" spans="1:16" ht="12" customHeight="1" thickTop="1" x14ac:dyDescent="0.25">
      <c r="A26" s="178"/>
      <c r="B26" s="605" t="s">
        <v>557</v>
      </c>
      <c r="C26" s="606"/>
      <c r="D26" s="606"/>
      <c r="E26" s="606"/>
      <c r="F26" s="606"/>
      <c r="G26" s="606"/>
      <c r="H26" s="606"/>
      <c r="I26" s="606"/>
      <c r="J26" s="606"/>
      <c r="K26" s="606"/>
      <c r="L26" s="606"/>
      <c r="M26" s="606"/>
      <c r="N26" s="606"/>
      <c r="O26" s="607"/>
      <c r="P26" s="178"/>
    </row>
    <row r="27" spans="1:16" ht="12" customHeight="1" x14ac:dyDescent="0.25">
      <c r="A27" s="178"/>
      <c r="B27" s="608"/>
      <c r="C27" s="609"/>
      <c r="D27" s="609"/>
      <c r="E27" s="609"/>
      <c r="F27" s="609"/>
      <c r="G27" s="609"/>
      <c r="H27" s="609"/>
      <c r="I27" s="609"/>
      <c r="J27" s="609"/>
      <c r="K27" s="609"/>
      <c r="L27" s="609"/>
      <c r="M27" s="609"/>
      <c r="N27" s="609"/>
      <c r="O27" s="610"/>
      <c r="P27" s="178"/>
    </row>
    <row r="28" spans="1:16" x14ac:dyDescent="0.25">
      <c r="A28" s="178"/>
      <c r="B28" s="389"/>
      <c r="C28" s="207" t="s">
        <v>566</v>
      </c>
      <c r="D28" s="207" t="s">
        <v>430</v>
      </c>
      <c r="E28" s="207" t="s">
        <v>361</v>
      </c>
      <c r="F28" s="207" t="s">
        <v>432</v>
      </c>
      <c r="G28" s="207" t="s">
        <v>435</v>
      </c>
      <c r="H28" s="207" t="s">
        <v>549</v>
      </c>
      <c r="I28" s="207" t="s">
        <v>439</v>
      </c>
      <c r="J28" s="207" t="s">
        <v>361</v>
      </c>
      <c r="K28" s="207" t="s">
        <v>448</v>
      </c>
      <c r="L28" s="603" t="s">
        <v>562</v>
      </c>
      <c r="M28" s="603"/>
      <c r="N28" s="603"/>
      <c r="O28" s="604"/>
    </row>
    <row r="29" spans="1:16" ht="5.25" customHeight="1" x14ac:dyDescent="0.25">
      <c r="A29" s="178"/>
      <c r="B29" s="389"/>
      <c r="C29" s="386"/>
      <c r="D29" s="207"/>
      <c r="E29" s="207"/>
      <c r="F29" s="207"/>
      <c r="G29" s="207"/>
      <c r="H29" s="207"/>
      <c r="I29" s="207"/>
      <c r="J29" s="207"/>
      <c r="K29" s="207"/>
      <c r="L29" s="207"/>
      <c r="M29" s="207"/>
      <c r="N29" s="207"/>
      <c r="O29" s="206"/>
    </row>
    <row r="30" spans="1:16" x14ac:dyDescent="0.25">
      <c r="A30" s="178"/>
      <c r="B30" s="389"/>
      <c r="C30" s="393" t="s">
        <v>550</v>
      </c>
      <c r="D30" s="388">
        <v>2.5</v>
      </c>
      <c r="E30" s="387" t="s">
        <v>361</v>
      </c>
      <c r="F30" s="387">
        <v>2.5</v>
      </c>
      <c r="G30" s="388">
        <v>3.5</v>
      </c>
      <c r="H30" s="388">
        <v>2.5</v>
      </c>
      <c r="I30" s="388">
        <v>2.5</v>
      </c>
      <c r="J30" s="388" t="s">
        <v>361</v>
      </c>
      <c r="K30" s="388">
        <v>2.5</v>
      </c>
      <c r="L30" s="600" t="s">
        <v>561</v>
      </c>
      <c r="M30" s="601"/>
      <c r="N30" s="601"/>
      <c r="O30" s="602"/>
    </row>
    <row r="31" spans="1:16" x14ac:dyDescent="0.25">
      <c r="A31" s="178"/>
      <c r="B31" s="389"/>
      <c r="C31" s="393" t="s">
        <v>551</v>
      </c>
      <c r="D31" s="388">
        <v>3</v>
      </c>
      <c r="E31" s="387" t="s">
        <v>361</v>
      </c>
      <c r="F31" s="387">
        <v>4</v>
      </c>
      <c r="G31" s="388">
        <v>5</v>
      </c>
      <c r="H31" s="388">
        <v>4</v>
      </c>
      <c r="I31" s="388">
        <v>4</v>
      </c>
      <c r="J31" s="388" t="s">
        <v>361</v>
      </c>
      <c r="K31" s="388">
        <v>3</v>
      </c>
      <c r="L31" s="601" t="s">
        <v>563</v>
      </c>
      <c r="M31" s="601"/>
      <c r="N31" s="601"/>
      <c r="O31" s="602"/>
    </row>
    <row r="32" spans="1:16" x14ac:dyDescent="0.25">
      <c r="A32" s="178"/>
      <c r="B32" s="389"/>
      <c r="C32" s="393" t="s">
        <v>552</v>
      </c>
      <c r="D32" s="388">
        <v>3.5</v>
      </c>
      <c r="E32" s="387" t="s">
        <v>361</v>
      </c>
      <c r="F32" s="387">
        <v>5</v>
      </c>
      <c r="G32" s="388">
        <v>6</v>
      </c>
      <c r="H32" s="388">
        <v>5</v>
      </c>
      <c r="I32" s="388">
        <v>5</v>
      </c>
      <c r="J32" s="388" t="s">
        <v>361</v>
      </c>
      <c r="K32" s="388">
        <v>3.5</v>
      </c>
      <c r="L32" s="601" t="s">
        <v>564</v>
      </c>
      <c r="M32" s="601"/>
      <c r="N32" s="601"/>
      <c r="O32" s="602"/>
    </row>
    <row r="33" spans="1:16" x14ac:dyDescent="0.25">
      <c r="B33" s="390"/>
      <c r="C33" s="393" t="s">
        <v>553</v>
      </c>
      <c r="D33" s="387">
        <v>4</v>
      </c>
      <c r="E33" s="388" t="s">
        <v>361</v>
      </c>
      <c r="F33" s="388">
        <v>6</v>
      </c>
      <c r="G33" s="388">
        <v>7</v>
      </c>
      <c r="H33" s="388">
        <v>6</v>
      </c>
      <c r="I33" s="388">
        <v>6</v>
      </c>
      <c r="J33" s="388" t="s">
        <v>361</v>
      </c>
      <c r="K33" s="388">
        <v>4</v>
      </c>
      <c r="L33" s="600" t="s">
        <v>565</v>
      </c>
      <c r="M33" s="601"/>
      <c r="N33" s="601"/>
      <c r="O33" s="602"/>
    </row>
    <row r="34" spans="1:16" x14ac:dyDescent="0.25">
      <c r="B34" s="390"/>
      <c r="C34" s="393" t="s">
        <v>554</v>
      </c>
      <c r="D34" s="387">
        <v>5</v>
      </c>
      <c r="E34" s="388" t="s">
        <v>361</v>
      </c>
      <c r="F34" s="388">
        <v>7</v>
      </c>
      <c r="G34" s="388">
        <v>8</v>
      </c>
      <c r="H34" s="388">
        <v>7</v>
      </c>
      <c r="I34" s="388">
        <v>7</v>
      </c>
      <c r="J34" s="388" t="s">
        <v>361</v>
      </c>
      <c r="K34" s="388">
        <v>5</v>
      </c>
      <c r="L34" s="601" t="s">
        <v>558</v>
      </c>
      <c r="M34" s="601"/>
      <c r="N34" s="601"/>
      <c r="O34" s="602"/>
    </row>
    <row r="35" spans="1:16" x14ac:dyDescent="0.25">
      <c r="B35" s="389"/>
      <c r="C35" s="393" t="s">
        <v>555</v>
      </c>
      <c r="D35" s="388">
        <v>5.5</v>
      </c>
      <c r="E35" s="388" t="s">
        <v>361</v>
      </c>
      <c r="F35" s="388">
        <v>8</v>
      </c>
      <c r="G35" s="388">
        <v>9</v>
      </c>
      <c r="H35" s="388">
        <v>8</v>
      </c>
      <c r="I35" s="388">
        <v>8</v>
      </c>
      <c r="J35" s="388" t="s">
        <v>361</v>
      </c>
      <c r="K35" s="388">
        <v>5.5</v>
      </c>
      <c r="L35" s="600" t="s">
        <v>559</v>
      </c>
      <c r="M35" s="601"/>
      <c r="N35" s="601"/>
      <c r="O35" s="602"/>
    </row>
    <row r="36" spans="1:16" x14ac:dyDescent="0.25">
      <c r="B36" s="389"/>
      <c r="C36" s="393" t="s">
        <v>556</v>
      </c>
      <c r="D36" s="388">
        <v>6</v>
      </c>
      <c r="E36" s="388" t="s">
        <v>361</v>
      </c>
      <c r="F36" s="388">
        <v>9</v>
      </c>
      <c r="G36" s="388">
        <v>10</v>
      </c>
      <c r="H36" s="388">
        <v>9</v>
      </c>
      <c r="I36" s="388">
        <v>9</v>
      </c>
      <c r="J36" s="388" t="s">
        <v>361</v>
      </c>
      <c r="K36" s="388">
        <v>6</v>
      </c>
      <c r="L36" s="600" t="s">
        <v>560</v>
      </c>
      <c r="M36" s="601"/>
      <c r="N36" s="601"/>
      <c r="O36" s="602"/>
    </row>
    <row r="37" spans="1:16" x14ac:dyDescent="0.25">
      <c r="B37" s="389"/>
      <c r="C37" s="561" t="s">
        <v>818</v>
      </c>
      <c r="D37" s="388"/>
      <c r="E37" s="388"/>
      <c r="F37" s="388"/>
      <c r="G37" s="388"/>
      <c r="H37" s="388"/>
      <c r="I37" s="388"/>
      <c r="J37" s="388"/>
      <c r="K37" s="388"/>
      <c r="L37" s="394"/>
      <c r="M37" s="395"/>
      <c r="N37" s="395"/>
      <c r="O37" s="396"/>
    </row>
    <row r="38" spans="1:16" ht="6" customHeight="1" thickBot="1" x14ac:dyDescent="0.3">
      <c r="B38" s="194"/>
      <c r="C38" s="391"/>
      <c r="D38" s="392"/>
      <c r="E38" s="392"/>
      <c r="F38" s="392"/>
      <c r="G38" s="392"/>
      <c r="H38" s="392"/>
      <c r="I38" s="392"/>
      <c r="J38" s="392"/>
      <c r="K38" s="392"/>
      <c r="L38" s="205"/>
      <c r="M38" s="205"/>
      <c r="N38" s="205"/>
      <c r="O38" s="195"/>
    </row>
    <row r="39" spans="1:16" ht="5.0999999999999996" customHeight="1" thickTop="1" thickBot="1" x14ac:dyDescent="0.3"/>
    <row r="40" spans="1:16" x14ac:dyDescent="0.25">
      <c r="A40" s="178"/>
      <c r="B40" s="594" t="s">
        <v>819</v>
      </c>
      <c r="C40" s="595"/>
      <c r="D40" s="595"/>
      <c r="E40" s="595"/>
      <c r="F40" s="595"/>
      <c r="G40" s="595"/>
      <c r="H40" s="595"/>
      <c r="I40" s="595"/>
      <c r="J40" s="595"/>
      <c r="K40" s="595"/>
      <c r="L40" s="595"/>
      <c r="M40" s="595"/>
      <c r="N40" s="595"/>
      <c r="O40" s="596"/>
      <c r="P40" s="178"/>
    </row>
    <row r="41" spans="1:16" ht="15.75" thickBot="1" x14ac:dyDescent="0.3">
      <c r="A41" s="178"/>
      <c r="B41" s="597"/>
      <c r="C41" s="598"/>
      <c r="D41" s="598"/>
      <c r="E41" s="598"/>
      <c r="F41" s="598"/>
      <c r="G41" s="598"/>
      <c r="H41" s="598"/>
      <c r="I41" s="598"/>
      <c r="J41" s="598"/>
      <c r="K41" s="598"/>
      <c r="L41" s="598"/>
      <c r="M41" s="598"/>
      <c r="N41" s="598"/>
      <c r="O41" s="599"/>
      <c r="P41" s="178"/>
    </row>
    <row r="42" spans="1:16" x14ac:dyDescent="0.25">
      <c r="A42" s="178"/>
      <c r="E42" s="178"/>
      <c r="M42" s="178"/>
      <c r="P42" s="178"/>
    </row>
    <row r="43" spans="1:16" x14ac:dyDescent="0.25">
      <c r="A43" s="178"/>
      <c r="E43" s="178"/>
      <c r="K43" s="178"/>
      <c r="M43" s="178"/>
      <c r="P43" s="178"/>
    </row>
    <row r="44" spans="1:16" x14ac:dyDescent="0.25">
      <c r="A44" s="178"/>
      <c r="E44" s="178"/>
      <c r="M44" s="178"/>
      <c r="P44" s="178"/>
    </row>
    <row r="45" spans="1:16" x14ac:dyDescent="0.25">
      <c r="A45" s="178"/>
      <c r="E45" s="178"/>
      <c r="J45" s="178"/>
      <c r="M45" s="178"/>
      <c r="P45" s="178"/>
    </row>
    <row r="46" spans="1:16" x14ac:dyDescent="0.25">
      <c r="A46" s="178"/>
      <c r="E46" s="178"/>
      <c r="K46" s="178"/>
      <c r="L46" s="178"/>
      <c r="M46" s="178"/>
      <c r="P46" s="178"/>
    </row>
    <row r="47" spans="1:16" x14ac:dyDescent="0.25">
      <c r="A47" s="178"/>
      <c r="E47" s="178"/>
      <c r="M47" s="178"/>
      <c r="P47" s="178"/>
    </row>
    <row r="48" spans="1:16" x14ac:dyDescent="0.25">
      <c r="B48" s="178"/>
      <c r="C48" s="178"/>
      <c r="D48" s="178"/>
    </row>
    <row r="49" spans="2:4" x14ac:dyDescent="0.25">
      <c r="B49" s="178"/>
      <c r="C49" s="178"/>
      <c r="D49" s="178"/>
    </row>
  </sheetData>
  <sheetProtection password="8A66" sheet="1" objects="1" scenarios="1"/>
  <mergeCells count="52">
    <mergeCell ref="C10:D10"/>
    <mergeCell ref="B1:O1"/>
    <mergeCell ref="B2:D3"/>
    <mergeCell ref="F2:I3"/>
    <mergeCell ref="K2:L3"/>
    <mergeCell ref="N2:O3"/>
    <mergeCell ref="B4:B5"/>
    <mergeCell ref="C4:D5"/>
    <mergeCell ref="K4:K5"/>
    <mergeCell ref="L4:L5"/>
    <mergeCell ref="N4:N5"/>
    <mergeCell ref="O4:O5"/>
    <mergeCell ref="C6:D6"/>
    <mergeCell ref="C7:D7"/>
    <mergeCell ref="C8:D8"/>
    <mergeCell ref="C9:D9"/>
    <mergeCell ref="N13:O14"/>
    <mergeCell ref="C14:D14"/>
    <mergeCell ref="F14:I15"/>
    <mergeCell ref="C15:D15"/>
    <mergeCell ref="N15:N16"/>
    <mergeCell ref="C11:D11"/>
    <mergeCell ref="G11:I11"/>
    <mergeCell ref="C12:D12"/>
    <mergeCell ref="G12:I12"/>
    <mergeCell ref="C13:D13"/>
    <mergeCell ref="C23:D23"/>
    <mergeCell ref="K23:L23"/>
    <mergeCell ref="C22:D22"/>
    <mergeCell ref="K22:L22"/>
    <mergeCell ref="O15:O16"/>
    <mergeCell ref="C16:D16"/>
    <mergeCell ref="F16:F17"/>
    <mergeCell ref="G16:G17"/>
    <mergeCell ref="H16:H17"/>
    <mergeCell ref="I16:I17"/>
    <mergeCell ref="C17:D17"/>
    <mergeCell ref="C18:D18"/>
    <mergeCell ref="K18:L19"/>
    <mergeCell ref="C19:D19"/>
    <mergeCell ref="C20:D20"/>
    <mergeCell ref="C21:D21"/>
    <mergeCell ref="B40:O41"/>
    <mergeCell ref="L36:O36"/>
    <mergeCell ref="L28:O28"/>
    <mergeCell ref="B26:O27"/>
    <mergeCell ref="L30:O30"/>
    <mergeCell ref="L31:O31"/>
    <mergeCell ref="L32:O32"/>
    <mergeCell ref="L33:O33"/>
    <mergeCell ref="L34:O34"/>
    <mergeCell ref="L35:O35"/>
  </mergeCells>
  <pageMargins left="0.2" right="0.2" top="0.5" bottom="0.5" header="0.3" footer="0.3"/>
  <pageSetup scale="75" orientation="landscape" r:id="rId1"/>
  <headerFooter>
    <oddFooter>&amp;Lwww.Alamaze.co&amp;RPrepared by: Frost Lord</oddFooter>
  </headerFooter>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7030A0"/>
    <pageSetUpPr fitToPage="1"/>
  </sheetPr>
  <dimension ref="B1:AR100"/>
  <sheetViews>
    <sheetView showGridLines="0" showRowColHeaders="0" zoomScale="80" zoomScaleNormal="80" workbookViewId="0">
      <selection activeCell="G4" sqref="G4"/>
    </sheetView>
  </sheetViews>
  <sheetFormatPr defaultColWidth="9.140625" defaultRowHeight="15" x14ac:dyDescent="0.25"/>
  <cols>
    <col min="1" max="1" width="0.85546875" style="43" customWidth="1"/>
    <col min="2" max="2" width="1.7109375" style="43" customWidth="1"/>
    <col min="3" max="5" width="19.42578125" style="43" customWidth="1"/>
    <col min="6" max="6" width="5.5703125" style="43" customWidth="1"/>
    <col min="7" max="7" width="16" style="43" customWidth="1"/>
    <col min="8" max="8" width="10.7109375" style="43" customWidth="1"/>
    <col min="9" max="9" width="9.28515625" style="43" customWidth="1"/>
    <col min="10" max="10" width="1.7109375" style="43" customWidth="1"/>
    <col min="11" max="11" width="0.85546875" style="397" customWidth="1"/>
    <col min="12" max="12" width="1.7109375" style="397" customWidth="1"/>
    <col min="13" max="15" width="24.85546875" style="397" customWidth="1"/>
    <col min="16" max="16" width="1.7109375" style="397" customWidth="1"/>
    <col min="17" max="17" width="0.85546875" style="397" customWidth="1"/>
    <col min="18" max="18" width="1.7109375" style="397" customWidth="1"/>
    <col min="19" max="19" width="17.7109375" style="397" customWidth="1"/>
    <col min="20" max="21" width="22.28515625" style="397" customWidth="1"/>
    <col min="22" max="22" width="4.28515625" style="397" customWidth="1"/>
    <col min="23" max="23" width="1.7109375" style="397" customWidth="1"/>
    <col min="24" max="24" width="6.7109375" style="397" customWidth="1"/>
    <col min="25" max="25" width="1.140625" style="398" hidden="1" customWidth="1"/>
    <col min="26" max="26" width="5.5703125" style="397" hidden="1" customWidth="1"/>
    <col min="27" max="27" width="20" style="397" hidden="1" customWidth="1"/>
    <col min="28" max="30" width="9.85546875" style="483" hidden="1" customWidth="1"/>
    <col min="31" max="31" width="5.5703125" style="397" hidden="1" customWidth="1"/>
    <col min="32" max="32" width="21.5703125" style="43" hidden="1" customWidth="1"/>
    <col min="33" max="34" width="18.42578125" style="106" hidden="1" customWidth="1"/>
    <col min="35" max="35" width="22.5703125" style="43" hidden="1" customWidth="1"/>
    <col min="36" max="36" width="18.42578125" style="43" hidden="1" customWidth="1"/>
    <col min="37" max="37" width="17.5703125" style="43" hidden="1" customWidth="1"/>
    <col min="38" max="39" width="18" style="43" hidden="1" customWidth="1"/>
    <col min="40" max="40" width="32.140625" style="43" hidden="1" customWidth="1"/>
    <col min="41" max="41" width="45.140625" style="43" hidden="1" customWidth="1"/>
    <col min="42" max="42" width="22.42578125" style="43" hidden="1" customWidth="1"/>
    <col min="43" max="43" width="15.5703125" style="43" hidden="1" customWidth="1"/>
    <col min="44" max="44" width="9.140625" style="43" hidden="1" customWidth="1"/>
    <col min="45" max="45" width="9.140625" style="43" customWidth="1"/>
    <col min="46" max="16384" width="9.140625" style="43"/>
  </cols>
  <sheetData>
    <row r="1" spans="2:43" ht="30" customHeight="1" x14ac:dyDescent="0.45">
      <c r="C1" s="680" t="s">
        <v>490</v>
      </c>
      <c r="D1" s="680"/>
      <c r="E1" s="680"/>
      <c r="F1" s="680"/>
      <c r="G1" s="680"/>
      <c r="H1" s="680"/>
      <c r="I1" s="497"/>
      <c r="M1" s="681" t="s">
        <v>567</v>
      </c>
      <c r="N1" s="681"/>
      <c r="O1" s="681"/>
      <c r="S1" s="681" t="s">
        <v>568</v>
      </c>
      <c r="T1" s="681"/>
      <c r="U1" s="681"/>
      <c r="V1" s="681"/>
      <c r="AA1" s="682" t="s">
        <v>569</v>
      </c>
      <c r="AB1" s="682"/>
      <c r="AC1" s="682"/>
      <c r="AD1" s="682"/>
      <c r="AF1" s="399" t="s">
        <v>570</v>
      </c>
      <c r="AG1" s="399" t="s">
        <v>571</v>
      </c>
      <c r="AH1" s="399" t="s">
        <v>572</v>
      </c>
      <c r="AI1" s="399" t="s">
        <v>573</v>
      </c>
      <c r="AJ1" s="399" t="s">
        <v>574</v>
      </c>
      <c r="AK1" s="399" t="s">
        <v>575</v>
      </c>
      <c r="AL1" s="399" t="s">
        <v>576</v>
      </c>
      <c r="AM1" s="399" t="s">
        <v>577</v>
      </c>
      <c r="AN1" s="399" t="s">
        <v>765</v>
      </c>
      <c r="AO1" s="399" t="s">
        <v>766</v>
      </c>
      <c r="AP1" s="495" t="s">
        <v>767</v>
      </c>
      <c r="AQ1" s="495" t="s">
        <v>769</v>
      </c>
    </row>
    <row r="2" spans="2:43" ht="15.75" customHeight="1" thickBot="1" x14ac:dyDescent="0.3">
      <c r="B2" s="400"/>
      <c r="C2" s="401"/>
      <c r="D2" s="401"/>
      <c r="E2" s="401"/>
      <c r="F2" s="401"/>
      <c r="G2" s="401"/>
      <c r="H2" s="401"/>
      <c r="I2" s="401"/>
      <c r="J2" s="400"/>
      <c r="M2" s="402"/>
      <c r="N2" s="402"/>
      <c r="O2" s="402"/>
      <c r="AA2" s="403"/>
      <c r="AB2" s="404" t="s">
        <v>578</v>
      </c>
      <c r="AC2" s="404" t="s">
        <v>579</v>
      </c>
      <c r="AD2" s="404" t="s">
        <v>580</v>
      </c>
      <c r="AE2" s="498"/>
      <c r="AF2" s="563" t="s">
        <v>36</v>
      </c>
      <c r="AG2" s="564">
        <f>$AI$75+10</f>
        <v>10</v>
      </c>
      <c r="AH2" s="565">
        <v>8</v>
      </c>
      <c r="AI2" s="566">
        <v>1</v>
      </c>
      <c r="AJ2" s="566">
        <v>1</v>
      </c>
      <c r="AK2" s="566">
        <f>0.05+$AJ$75</f>
        <v>0.05</v>
      </c>
      <c r="AL2" s="566">
        <f>1+$AK$75</f>
        <v>1</v>
      </c>
      <c r="AM2" s="566">
        <f>0.75+$AL$75</f>
        <v>0.75</v>
      </c>
      <c r="AN2" s="408"/>
      <c r="AO2" s="408" t="s">
        <v>716</v>
      </c>
      <c r="AP2" s="408" t="s">
        <v>35</v>
      </c>
      <c r="AQ2" s="408" t="s">
        <v>554</v>
      </c>
    </row>
    <row r="3" spans="2:43" ht="15.75" customHeight="1" thickTop="1" x14ac:dyDescent="0.25">
      <c r="B3" s="409"/>
      <c r="C3" s="410"/>
      <c r="D3" s="410"/>
      <c r="E3" s="410"/>
      <c r="F3" s="410"/>
      <c r="G3" s="410"/>
      <c r="H3" s="410"/>
      <c r="I3" s="410"/>
      <c r="J3" s="150"/>
      <c r="L3" s="640" t="s">
        <v>810</v>
      </c>
      <c r="M3" s="641"/>
      <c r="N3" s="641"/>
      <c r="O3" s="641"/>
      <c r="P3" s="642"/>
      <c r="R3" s="640" t="s">
        <v>582</v>
      </c>
      <c r="S3" s="641"/>
      <c r="T3" s="641"/>
      <c r="U3" s="641"/>
      <c r="V3" s="641"/>
      <c r="W3" s="642"/>
      <c r="AA3" s="411" t="s">
        <v>583</v>
      </c>
      <c r="AB3" s="491">
        <f>IF($G$7="",0,VLOOKUP($G$7,$AF$28:$AH$32,2,FALSE))</f>
        <v>0</v>
      </c>
      <c r="AC3" s="491">
        <f>(AB3+AD3)/2</f>
        <v>0</v>
      </c>
      <c r="AD3" s="491">
        <f>IF($G$7="",0,VLOOKUP($G$7,$AF$28:$AH$32,3,FALSE))</f>
        <v>0</v>
      </c>
      <c r="AE3" s="498"/>
      <c r="AF3" s="563" t="s">
        <v>38</v>
      </c>
      <c r="AG3" s="564">
        <f t="shared" ref="AG3:AG25" si="0">$AI$75+10</f>
        <v>10</v>
      </c>
      <c r="AH3" s="565">
        <v>10</v>
      </c>
      <c r="AI3" s="566">
        <v>1</v>
      </c>
      <c r="AJ3" s="566">
        <v>1</v>
      </c>
      <c r="AK3" s="566">
        <f>0.05+$AJ$75</f>
        <v>0.05</v>
      </c>
      <c r="AL3" s="566">
        <f t="shared" ref="AL3:AL25" si="1">1+$AK$75</f>
        <v>1</v>
      </c>
      <c r="AM3" s="566">
        <f>0.75+$AL$75</f>
        <v>0.75</v>
      </c>
      <c r="AN3" s="408"/>
      <c r="AO3" s="408" t="s">
        <v>581</v>
      </c>
      <c r="AP3" s="408" t="s">
        <v>37</v>
      </c>
      <c r="AQ3" s="408" t="s">
        <v>770</v>
      </c>
    </row>
    <row r="4" spans="2:43" ht="15.75" customHeight="1" x14ac:dyDescent="0.25">
      <c r="B4" s="412"/>
      <c r="C4" s="413" t="s">
        <v>803</v>
      </c>
      <c r="D4" s="413"/>
      <c r="E4" s="413"/>
      <c r="F4" s="414"/>
      <c r="G4" s="501"/>
      <c r="H4" s="517" t="str">
        <f>IF($G$4="","",VLOOKUP($G$4,$AF$2:$AP$25,11,FALSE))</f>
        <v/>
      </c>
      <c r="I4" s="414"/>
      <c r="J4" s="155"/>
      <c r="L4" s="643"/>
      <c r="M4" s="644"/>
      <c r="N4" s="644"/>
      <c r="O4" s="644"/>
      <c r="P4" s="645"/>
      <c r="R4" s="643"/>
      <c r="S4" s="644"/>
      <c r="T4" s="644"/>
      <c r="U4" s="644"/>
      <c r="V4" s="644"/>
      <c r="W4" s="645"/>
      <c r="AA4" s="403"/>
      <c r="AB4" s="415"/>
      <c r="AC4" s="415"/>
      <c r="AD4" s="415"/>
      <c r="AE4" s="498"/>
      <c r="AF4" s="563" t="s">
        <v>40</v>
      </c>
      <c r="AG4" s="564">
        <f t="shared" si="0"/>
        <v>10</v>
      </c>
      <c r="AH4" s="565">
        <v>8</v>
      </c>
      <c r="AI4" s="566">
        <v>1</v>
      </c>
      <c r="AJ4" s="566">
        <v>1</v>
      </c>
      <c r="AK4" s="566">
        <f>0.05+$AJ$75</f>
        <v>0.05</v>
      </c>
      <c r="AL4" s="566">
        <f t="shared" si="1"/>
        <v>1</v>
      </c>
      <c r="AM4" s="566">
        <f>0.75+$AL$75</f>
        <v>0.75</v>
      </c>
      <c r="AN4" s="408"/>
      <c r="AO4" s="408" t="s">
        <v>717</v>
      </c>
      <c r="AP4" s="408" t="s">
        <v>39</v>
      </c>
      <c r="AQ4" s="408" t="s">
        <v>554</v>
      </c>
    </row>
    <row r="5" spans="2:43" ht="15.75" customHeight="1" x14ac:dyDescent="0.25">
      <c r="B5" s="423"/>
      <c r="C5" s="424"/>
      <c r="D5" s="424"/>
      <c r="E5" s="424"/>
      <c r="F5" s="424"/>
      <c r="G5" s="424"/>
      <c r="H5" s="424"/>
      <c r="I5" s="424"/>
      <c r="J5" s="425"/>
      <c r="L5" s="416"/>
      <c r="M5" s="670" t="s">
        <v>586</v>
      </c>
      <c r="N5" s="672" t="s">
        <v>587</v>
      </c>
      <c r="O5" s="675" t="s">
        <v>588</v>
      </c>
      <c r="P5" s="417"/>
      <c r="R5" s="418"/>
      <c r="S5" s="419"/>
      <c r="T5" s="420"/>
      <c r="U5" s="420"/>
      <c r="V5" s="421"/>
      <c r="W5" s="422"/>
      <c r="AA5" s="403"/>
      <c r="AB5" s="404" t="s">
        <v>589</v>
      </c>
      <c r="AC5" s="415"/>
      <c r="AD5" s="415"/>
      <c r="AE5" s="498"/>
      <c r="AF5" s="563" t="s">
        <v>44</v>
      </c>
      <c r="AG5" s="564">
        <f t="shared" si="0"/>
        <v>10</v>
      </c>
      <c r="AH5" s="565">
        <v>8</v>
      </c>
      <c r="AI5" s="566">
        <v>1</v>
      </c>
      <c r="AJ5" s="566">
        <v>1</v>
      </c>
      <c r="AK5" s="566">
        <f>0+$AJ$75</f>
        <v>0</v>
      </c>
      <c r="AL5" s="566">
        <f t="shared" si="1"/>
        <v>1</v>
      </c>
      <c r="AM5" s="566">
        <f>0.5+$AL$75</f>
        <v>0.5</v>
      </c>
      <c r="AN5" s="408"/>
      <c r="AO5" s="408" t="s">
        <v>584</v>
      </c>
      <c r="AP5" s="408" t="s">
        <v>43</v>
      </c>
      <c r="AQ5" s="408" t="s">
        <v>554</v>
      </c>
    </row>
    <row r="6" spans="2:43" ht="15.75" customHeight="1" x14ac:dyDescent="0.25">
      <c r="B6" s="412"/>
      <c r="C6" s="414"/>
      <c r="D6" s="414"/>
      <c r="E6" s="414"/>
      <c r="F6" s="414"/>
      <c r="G6" s="414"/>
      <c r="H6" s="414"/>
      <c r="I6" s="414"/>
      <c r="J6" s="155"/>
      <c r="L6" s="426"/>
      <c r="M6" s="670"/>
      <c r="N6" s="673"/>
      <c r="O6" s="676"/>
      <c r="P6" s="422"/>
      <c r="R6" s="427"/>
      <c r="S6" s="428"/>
      <c r="T6" s="559" t="s">
        <v>814</v>
      </c>
      <c r="U6" s="560" t="s">
        <v>815</v>
      </c>
      <c r="V6" s="429"/>
      <c r="W6" s="422"/>
      <c r="AA6" s="411" t="s">
        <v>591</v>
      </c>
      <c r="AB6" s="491">
        <f>IF($G$4="",0,IF($G$7="",0,IF($G$10="",0,SUM($AB$7:$AB$20))))</f>
        <v>0</v>
      </c>
      <c r="AC6" s="415"/>
      <c r="AD6" s="415"/>
      <c r="AE6" s="498"/>
      <c r="AF6" s="563" t="s">
        <v>42</v>
      </c>
      <c r="AG6" s="564">
        <f t="shared" si="0"/>
        <v>10</v>
      </c>
      <c r="AH6" s="565">
        <v>6</v>
      </c>
      <c r="AI6" s="566">
        <v>1</v>
      </c>
      <c r="AJ6" s="566">
        <v>1</v>
      </c>
      <c r="AK6" s="566">
        <f>0.05+$AJ$75</f>
        <v>0.05</v>
      </c>
      <c r="AL6" s="566">
        <f t="shared" si="1"/>
        <v>1</v>
      </c>
      <c r="AM6" s="566">
        <f>0.75+$AL$75</f>
        <v>0.75</v>
      </c>
      <c r="AN6" s="408"/>
      <c r="AO6" s="408" t="s">
        <v>718</v>
      </c>
      <c r="AP6" s="408" t="s">
        <v>41</v>
      </c>
      <c r="AQ6" s="408" t="s">
        <v>771</v>
      </c>
    </row>
    <row r="7" spans="2:43" ht="15.75" customHeight="1" x14ac:dyDescent="0.25">
      <c r="B7" s="412"/>
      <c r="C7" s="413" t="s">
        <v>596</v>
      </c>
      <c r="D7" s="413"/>
      <c r="E7" s="413"/>
      <c r="F7" s="414"/>
      <c r="G7" s="501"/>
      <c r="H7" s="414"/>
      <c r="I7" s="414"/>
      <c r="J7" s="155"/>
      <c r="L7" s="426"/>
      <c r="M7" s="671"/>
      <c r="N7" s="674"/>
      <c r="O7" s="677"/>
      <c r="P7" s="422"/>
      <c r="R7" s="430"/>
      <c r="S7" s="678" t="s">
        <v>592</v>
      </c>
      <c r="T7" s="431" t="s">
        <v>593</v>
      </c>
      <c r="U7" s="431" t="s">
        <v>594</v>
      </c>
      <c r="V7" s="429"/>
      <c r="W7" s="422"/>
      <c r="AA7" s="432" t="s">
        <v>595</v>
      </c>
      <c r="AB7" s="492">
        <f>IF($G$4="",0,VLOOKUP($G$4,$AF$2:$AH$25,2,FALSE))</f>
        <v>0</v>
      </c>
      <c r="AC7" s="415"/>
      <c r="AD7" s="415"/>
      <c r="AE7" s="498"/>
      <c r="AF7" s="563" t="s">
        <v>46</v>
      </c>
      <c r="AG7" s="564">
        <f t="shared" si="0"/>
        <v>10</v>
      </c>
      <c r="AH7" s="565">
        <v>12</v>
      </c>
      <c r="AI7" s="566">
        <v>1</v>
      </c>
      <c r="AJ7" s="566">
        <v>1</v>
      </c>
      <c r="AK7" s="566">
        <f>0.08+$AJ$75</f>
        <v>0.08</v>
      </c>
      <c r="AL7" s="566">
        <f t="shared" si="1"/>
        <v>1</v>
      </c>
      <c r="AM7" s="566">
        <f>0.8+$AL$75</f>
        <v>0.8</v>
      </c>
      <c r="AN7" s="408"/>
      <c r="AO7" s="408" t="s">
        <v>585</v>
      </c>
      <c r="AP7" s="408" t="s">
        <v>45</v>
      </c>
      <c r="AQ7" s="408" t="s">
        <v>552</v>
      </c>
    </row>
    <row r="8" spans="2:43" ht="15.75" customHeight="1" x14ac:dyDescent="0.25">
      <c r="B8" s="423"/>
      <c r="C8" s="438"/>
      <c r="D8" s="438"/>
      <c r="E8" s="438"/>
      <c r="F8" s="424"/>
      <c r="G8" s="439"/>
      <c r="H8" s="424"/>
      <c r="I8" s="424"/>
      <c r="J8" s="425"/>
      <c r="L8" s="426"/>
      <c r="M8" s="662" t="str">
        <f>IF($G$10="","",IF($AB$6=0,"",IF(AD$3=0,"",IF(AD29&gt;=0.97,"Near Certainty",IF(AD29&gt;=0.9,"Promising",IF(AD29&gt;=0.75,"Good",IF(AD29&gt;=0.6,"Decent",IF(AD29&gt;=0.45,"Iffy",IF(AD29&gt;=0.3,"Unlikely",IF(AD29&gt;=0.15,"Slight","Suicide Mission"))))))))))</f>
        <v/>
      </c>
      <c r="N8" s="662" t="str">
        <f>IF($G$10="","",IF($AB$6=0,"",IF(AC$3=0,"",IF(AC29&gt;=0.97,"Near Certainty",IF(AC29&gt;=0.9,"Promising",IF(AC29&gt;=0.75,"Good",IF(AC29&gt;=0.6,"Decent",IF(AC29&gt;=0.45,"Iffy",IF(AC29&gt;=0.3,"Unlikely",IF(AC29&gt;=0.15,"Slight","Suicide Mission"))))))))))</f>
        <v/>
      </c>
      <c r="O8" s="662" t="str">
        <f>IF($G$10="","",IF($AB$6=0,"",IF(AB$3=0,"",IF(AB29&gt;=0.97,"Near Certainty",IF(AB29&gt;=0.9,"Promising",IF(AB29&gt;=0.75,"Good",IF(AB29&gt;=0.6,"Decent",IF(AB29&gt;=0.45,"Iffy",IF(AB29&gt;=0.3,"Unlikely",IF(AB29&gt;=0.15,"Slight","Suicide Mission"))))))))))</f>
        <v/>
      </c>
      <c r="P8" s="422"/>
      <c r="R8" s="430"/>
      <c r="S8" s="678"/>
      <c r="T8" s="434" t="s">
        <v>597</v>
      </c>
      <c r="U8" s="434" t="s">
        <v>598</v>
      </c>
      <c r="V8" s="429"/>
      <c r="W8" s="422"/>
      <c r="AA8" s="432" t="s">
        <v>599</v>
      </c>
      <c r="AB8" s="492">
        <f>IF($G$4="",0,IF($G15="",0,((VLOOKUP($G15,$AF$36:$AJ$45,2,FALSE))*(VLOOKUP($G$4,$AF$2:$AJ$25,4,FALSE)))))</f>
        <v>0</v>
      </c>
      <c r="AC8" s="415"/>
      <c r="AD8" s="415"/>
      <c r="AE8" s="498"/>
      <c r="AF8" s="563" t="s">
        <v>48</v>
      </c>
      <c r="AG8" s="564">
        <f t="shared" si="0"/>
        <v>10</v>
      </c>
      <c r="AH8" s="565">
        <v>10</v>
      </c>
      <c r="AI8" s="566">
        <v>1</v>
      </c>
      <c r="AJ8" s="566">
        <v>1</v>
      </c>
      <c r="AK8" s="566">
        <f>0+$AJ$75</f>
        <v>0</v>
      </c>
      <c r="AL8" s="566">
        <f t="shared" si="1"/>
        <v>1</v>
      </c>
      <c r="AM8" s="566">
        <f>0.6+$AL$75</f>
        <v>0.6</v>
      </c>
      <c r="AN8" s="408"/>
      <c r="AO8" s="408" t="s">
        <v>590</v>
      </c>
      <c r="AP8" s="408" t="s">
        <v>47</v>
      </c>
      <c r="AQ8" s="408" t="s">
        <v>770</v>
      </c>
    </row>
    <row r="9" spans="2:43" ht="15.75" customHeight="1" x14ac:dyDescent="0.25">
      <c r="B9" s="412"/>
      <c r="C9" s="435"/>
      <c r="D9" s="435"/>
      <c r="E9" s="435"/>
      <c r="F9" s="414"/>
      <c r="G9" s="444"/>
      <c r="H9" s="414"/>
      <c r="I9" s="414"/>
      <c r="J9" s="155"/>
      <c r="L9" s="426"/>
      <c r="M9" s="662"/>
      <c r="N9" s="662"/>
      <c r="O9" s="662"/>
      <c r="P9" s="422"/>
      <c r="R9" s="430"/>
      <c r="S9" s="678"/>
      <c r="T9" s="436" t="s">
        <v>600</v>
      </c>
      <c r="U9" s="436" t="s">
        <v>601</v>
      </c>
      <c r="V9" s="429"/>
      <c r="W9" s="422"/>
      <c r="AA9" s="432" t="s">
        <v>602</v>
      </c>
      <c r="AB9" s="492">
        <f>IF($G$4="",0,IF($G16="",0,((VLOOKUP($G16,$AF$36:$AJ$45,2,FALSE))*(VLOOKUP($G$4,$AF$2:$AJ$25,4,FALSE)))))</f>
        <v>0</v>
      </c>
      <c r="AC9" s="415"/>
      <c r="AD9" s="415"/>
      <c r="AE9" s="498"/>
      <c r="AF9" s="563" t="s">
        <v>50</v>
      </c>
      <c r="AG9" s="564">
        <f t="shared" si="0"/>
        <v>10</v>
      </c>
      <c r="AH9" s="565">
        <v>14</v>
      </c>
      <c r="AI9" s="566">
        <v>1</v>
      </c>
      <c r="AJ9" s="566">
        <v>1</v>
      </c>
      <c r="AK9" s="566">
        <f>0+$AJ$75</f>
        <v>0</v>
      </c>
      <c r="AL9" s="566">
        <f t="shared" si="1"/>
        <v>1</v>
      </c>
      <c r="AM9" s="566">
        <f>0.5+$AL$75</f>
        <v>0.5</v>
      </c>
      <c r="AN9" s="408"/>
      <c r="AO9" s="408" t="s">
        <v>719</v>
      </c>
      <c r="AP9" s="408" t="s">
        <v>49</v>
      </c>
      <c r="AQ9" s="408" t="s">
        <v>551</v>
      </c>
    </row>
    <row r="10" spans="2:43" ht="15.75" customHeight="1" thickBot="1" x14ac:dyDescent="0.3">
      <c r="B10" s="412"/>
      <c r="C10" s="413" t="s">
        <v>610</v>
      </c>
      <c r="D10" s="413"/>
      <c r="E10" s="413"/>
      <c r="F10" s="414"/>
      <c r="G10" s="501"/>
      <c r="H10" s="414"/>
      <c r="I10" s="414"/>
      <c r="J10" s="155"/>
      <c r="L10" s="440"/>
      <c r="M10" s="441"/>
      <c r="N10" s="441"/>
      <c r="O10" s="441"/>
      <c r="P10" s="442"/>
      <c r="R10" s="430"/>
      <c r="S10" s="678"/>
      <c r="T10" s="443" t="s">
        <v>603</v>
      </c>
      <c r="U10" s="443" t="s">
        <v>604</v>
      </c>
      <c r="V10" s="429"/>
      <c r="W10" s="422"/>
      <c r="AA10" s="432" t="s">
        <v>605</v>
      </c>
      <c r="AB10" s="492">
        <f>IF($G$4="",0,IF($G17="",0,((VLOOKUP($G17,$AF$36:$AJ$45,2,FALSE))*(VLOOKUP($G$4,$AF$2:$AJ$25,4,FALSE)))))</f>
        <v>0</v>
      </c>
      <c r="AC10" s="415"/>
      <c r="AD10" s="415"/>
      <c r="AE10" s="498"/>
      <c r="AF10" s="563" t="s">
        <v>52</v>
      </c>
      <c r="AG10" s="564">
        <f t="shared" si="0"/>
        <v>10</v>
      </c>
      <c r="AH10" s="565">
        <v>2</v>
      </c>
      <c r="AI10" s="566">
        <v>1</v>
      </c>
      <c r="AJ10" s="566">
        <v>1</v>
      </c>
      <c r="AK10" s="566">
        <f>0.08+$AJ$75</f>
        <v>0.08</v>
      </c>
      <c r="AL10" s="566">
        <f t="shared" si="1"/>
        <v>1</v>
      </c>
      <c r="AM10" s="566">
        <f>0.95+$AL$75</f>
        <v>0.95</v>
      </c>
      <c r="AN10" s="408"/>
      <c r="AO10" s="408" t="s">
        <v>720</v>
      </c>
      <c r="AP10" s="408" t="s">
        <v>51</v>
      </c>
      <c r="AQ10" s="408" t="s">
        <v>772</v>
      </c>
    </row>
    <row r="11" spans="2:43" ht="15.75" customHeight="1" thickTop="1" x14ac:dyDescent="0.25">
      <c r="B11" s="423"/>
      <c r="C11" s="424"/>
      <c r="D11" s="424"/>
      <c r="E11" s="424"/>
      <c r="F11" s="424"/>
      <c r="G11" s="424"/>
      <c r="H11" s="424"/>
      <c r="I11" s="424"/>
      <c r="J11" s="425"/>
      <c r="L11" s="640" t="s">
        <v>811</v>
      </c>
      <c r="M11" s="641"/>
      <c r="N11" s="641"/>
      <c r="O11" s="641"/>
      <c r="P11" s="642"/>
      <c r="R11" s="430"/>
      <c r="S11" s="678"/>
      <c r="T11" s="445" t="s">
        <v>606</v>
      </c>
      <c r="U11" s="445" t="s">
        <v>607</v>
      </c>
      <c r="V11" s="429"/>
      <c r="W11" s="422"/>
      <c r="AA11" s="432" t="s">
        <v>608</v>
      </c>
      <c r="AB11" s="492">
        <f>(IF($G$4="",0,VLOOKUP($G$4,$AF$2:$AJ$25,3,FALSE)))*(IF($G22="",0,VLOOKUP($G22,$AF$48:$AH$63,2,FALSE)))*(IF($G22="",0,IF($H22="",0,VLOOKUP($H22,$AI$48:$AK$52,2,FALSE))))*(IF($G$4="",0,VLOOKUP($G$4,$AF$2:$AJ$25,4,FALSE)))</f>
        <v>0</v>
      </c>
      <c r="AC11" s="415"/>
      <c r="AD11" s="415"/>
      <c r="AE11" s="498"/>
      <c r="AF11" s="563" t="s">
        <v>53</v>
      </c>
      <c r="AG11" s="564">
        <f t="shared" si="0"/>
        <v>10</v>
      </c>
      <c r="AH11" s="565">
        <v>12</v>
      </c>
      <c r="AI11" s="566">
        <v>1</v>
      </c>
      <c r="AJ11" s="566">
        <v>1</v>
      </c>
      <c r="AK11" s="566">
        <f>0.08+$AJ$75</f>
        <v>0.08</v>
      </c>
      <c r="AL11" s="566">
        <f t="shared" si="1"/>
        <v>1</v>
      </c>
      <c r="AM11" s="566">
        <f>0.95+$AL$75</f>
        <v>0.95</v>
      </c>
      <c r="AN11" s="408"/>
      <c r="AO11" s="408" t="s">
        <v>734</v>
      </c>
      <c r="AP11" s="408" t="s">
        <v>84</v>
      </c>
      <c r="AQ11" s="408" t="s">
        <v>552</v>
      </c>
    </row>
    <row r="12" spans="2:43" ht="15.75" customHeight="1" x14ac:dyDescent="0.25">
      <c r="B12" s="412"/>
      <c r="C12" s="435"/>
      <c r="D12" s="435"/>
      <c r="E12" s="435"/>
      <c r="F12" s="414"/>
      <c r="G12" s="444"/>
      <c r="H12" s="414"/>
      <c r="I12" s="414"/>
      <c r="J12" s="155"/>
      <c r="L12" s="643"/>
      <c r="M12" s="644"/>
      <c r="N12" s="644"/>
      <c r="O12" s="644"/>
      <c r="P12" s="645"/>
      <c r="R12" s="430"/>
      <c r="S12" s="678"/>
      <c r="T12" s="446" t="s">
        <v>598</v>
      </c>
      <c r="U12" s="446" t="s">
        <v>611</v>
      </c>
      <c r="V12" s="429"/>
      <c r="W12" s="422"/>
      <c r="AA12" s="432" t="s">
        <v>612</v>
      </c>
      <c r="AB12" s="492">
        <f>(IF($G$4="",0,VLOOKUP($G$4,$AF$2:$AJ$25,3,FALSE)))*(IF($G23="",0,VLOOKUP($G23,$AF$48:$AH$63,2,FALSE)))*(IF($G23="",0,IF($H23="",0,VLOOKUP($H23,$AI$48:$AK$52,2,FALSE))))*(IF($G$4="",0,VLOOKUP($G$4,$AF$2:$AJ$25,4,FALSE)))</f>
        <v>0</v>
      </c>
      <c r="AC12" s="415"/>
      <c r="AD12" s="415"/>
      <c r="AE12" s="498"/>
      <c r="AF12" s="563" t="s">
        <v>55</v>
      </c>
      <c r="AG12" s="564">
        <f t="shared" si="0"/>
        <v>10</v>
      </c>
      <c r="AH12" s="565">
        <v>12</v>
      </c>
      <c r="AI12" s="566">
        <v>1</v>
      </c>
      <c r="AJ12" s="566">
        <v>1</v>
      </c>
      <c r="AK12" s="566">
        <f>0+$AJ$75</f>
        <v>0</v>
      </c>
      <c r="AL12" s="566">
        <f t="shared" si="1"/>
        <v>1</v>
      </c>
      <c r="AM12" s="566">
        <f>0.5+$AL$75</f>
        <v>0.5</v>
      </c>
      <c r="AN12" s="437"/>
      <c r="AO12" s="437" t="s">
        <v>721</v>
      </c>
      <c r="AP12" s="437" t="s">
        <v>54</v>
      </c>
      <c r="AQ12" s="437" t="s">
        <v>552</v>
      </c>
    </row>
    <row r="13" spans="2:43" ht="15.75" customHeight="1" x14ac:dyDescent="0.25">
      <c r="B13" s="412"/>
      <c r="C13" s="413" t="s">
        <v>735</v>
      </c>
      <c r="D13" s="413"/>
      <c r="E13" s="413"/>
      <c r="F13" s="414"/>
      <c r="G13" s="638" t="s">
        <v>622</v>
      </c>
      <c r="H13" s="638" t="s">
        <v>623</v>
      </c>
      <c r="I13" s="496"/>
      <c r="J13" s="155"/>
      <c r="L13" s="426"/>
      <c r="M13" s="447"/>
      <c r="N13" s="668" t="s">
        <v>613</v>
      </c>
      <c r="O13" s="668" t="s">
        <v>614</v>
      </c>
      <c r="P13" s="422"/>
      <c r="R13" s="430"/>
      <c r="S13" s="678"/>
      <c r="T13" s="448" t="s">
        <v>615</v>
      </c>
      <c r="U13" s="448" t="s">
        <v>616</v>
      </c>
      <c r="V13" s="429"/>
      <c r="W13" s="422"/>
      <c r="AA13" s="432" t="s">
        <v>617</v>
      </c>
      <c r="AB13" s="492">
        <f>(IF($G$4="",0,VLOOKUP($G$4,$AF$2:$AJ$25,3,FALSE)))*(IF($G24="",0,VLOOKUP($G24,$AF$48:$AH$63,2,FALSE)))*(IF($G24="",0,IF($H24="",0,VLOOKUP($H24,$AI$48:$AK$52,2,FALSE))))*(IF($G$4="",0,VLOOKUP($G$4,$AF$2:$AJ$25,4,FALSE)))</f>
        <v>0</v>
      </c>
      <c r="AC13" s="415"/>
      <c r="AD13" s="415"/>
      <c r="AE13" s="498"/>
      <c r="AF13" s="563" t="s">
        <v>57</v>
      </c>
      <c r="AG13" s="564">
        <f t="shared" si="0"/>
        <v>10</v>
      </c>
      <c r="AH13" s="565">
        <v>4</v>
      </c>
      <c r="AI13" s="566">
        <v>1</v>
      </c>
      <c r="AJ13" s="566">
        <v>1</v>
      </c>
      <c r="AK13" s="566">
        <f>0.06+$AJ$75</f>
        <v>0.06</v>
      </c>
      <c r="AL13" s="566">
        <f t="shared" si="1"/>
        <v>1</v>
      </c>
      <c r="AM13" s="566">
        <f>0.75+$AL$75</f>
        <v>0.75</v>
      </c>
      <c r="AN13" s="437"/>
      <c r="AO13" s="437" t="s">
        <v>722</v>
      </c>
      <c r="AP13" s="437" t="s">
        <v>56</v>
      </c>
      <c r="AQ13" s="437" t="s">
        <v>779</v>
      </c>
    </row>
    <row r="14" spans="2:43" ht="15.75" customHeight="1" x14ac:dyDescent="0.25">
      <c r="B14" s="412"/>
      <c r="C14" s="515"/>
      <c r="D14" s="500"/>
      <c r="E14" s="500"/>
      <c r="F14" s="414"/>
      <c r="G14" s="639"/>
      <c r="H14" s="639"/>
      <c r="I14" s="496"/>
      <c r="J14" s="155"/>
      <c r="L14" s="426"/>
      <c r="M14" s="447"/>
      <c r="N14" s="668"/>
      <c r="O14" s="668"/>
      <c r="P14" s="422"/>
      <c r="R14" s="430"/>
      <c r="S14" s="678"/>
      <c r="T14" s="449" t="s">
        <v>618</v>
      </c>
      <c r="U14" s="449" t="s">
        <v>618</v>
      </c>
      <c r="V14" s="429"/>
      <c r="W14" s="422"/>
      <c r="AA14" s="432" t="s">
        <v>619</v>
      </c>
      <c r="AB14" s="492">
        <f t="shared" ref="AB14:AB20" si="2">(IF($G30="",0,VLOOKUP($G30,$AL$48:$AM$54,2,FALSE)))*(IF($G$4="",0,VLOOKUP($G$4,$AF$2:$AJ$25,5,FALSE)))</f>
        <v>0</v>
      </c>
      <c r="AC14" s="415"/>
      <c r="AD14" s="415"/>
      <c r="AE14" s="498"/>
      <c r="AF14" s="563" t="s">
        <v>59</v>
      </c>
      <c r="AG14" s="564">
        <f t="shared" si="0"/>
        <v>10</v>
      </c>
      <c r="AH14" s="565">
        <v>14</v>
      </c>
      <c r="AI14" s="566">
        <v>1</v>
      </c>
      <c r="AJ14" s="566">
        <v>1</v>
      </c>
      <c r="AK14" s="566">
        <f>0.08+$AJ$75</f>
        <v>0.08</v>
      </c>
      <c r="AL14" s="566">
        <f t="shared" si="1"/>
        <v>1</v>
      </c>
      <c r="AM14" s="566">
        <f>0.95+$AL$75</f>
        <v>0.95</v>
      </c>
      <c r="AN14" s="437"/>
      <c r="AO14" s="437" t="s">
        <v>723</v>
      </c>
      <c r="AP14" s="437" t="s">
        <v>58</v>
      </c>
      <c r="AQ14" s="437" t="s">
        <v>551</v>
      </c>
    </row>
    <row r="15" spans="2:43" ht="15.75" customHeight="1" x14ac:dyDescent="0.25">
      <c r="B15" s="412"/>
      <c r="C15" s="515" t="s">
        <v>773</v>
      </c>
      <c r="D15" s="500"/>
      <c r="E15" s="500"/>
      <c r="F15" s="452" t="s">
        <v>629</v>
      </c>
      <c r="G15" s="501"/>
      <c r="H15" s="501"/>
      <c r="I15" s="496"/>
      <c r="J15" s="155"/>
      <c r="L15" s="426"/>
      <c r="M15" s="447"/>
      <c r="N15" s="669"/>
      <c r="O15" s="669"/>
      <c r="P15" s="422"/>
      <c r="R15" s="430"/>
      <c r="S15" s="679" t="s">
        <v>620</v>
      </c>
      <c r="T15" s="450"/>
      <c r="U15" s="450"/>
      <c r="V15" s="429"/>
      <c r="W15" s="422"/>
      <c r="AA15" s="432" t="s">
        <v>621</v>
      </c>
      <c r="AB15" s="492">
        <f t="shared" si="2"/>
        <v>0</v>
      </c>
      <c r="AC15" s="415"/>
      <c r="AD15" s="415"/>
      <c r="AE15" s="498"/>
      <c r="AF15" s="563" t="s">
        <v>61</v>
      </c>
      <c r="AG15" s="564">
        <f t="shared" si="0"/>
        <v>10</v>
      </c>
      <c r="AH15" s="565">
        <v>10</v>
      </c>
      <c r="AI15" s="566">
        <v>1</v>
      </c>
      <c r="AJ15" s="566">
        <v>1</v>
      </c>
      <c r="AK15" s="566">
        <f>0.08+$AJ$75</f>
        <v>0.08</v>
      </c>
      <c r="AL15" s="566">
        <f t="shared" si="1"/>
        <v>1</v>
      </c>
      <c r="AM15" s="566">
        <f>0.95+$AL$75</f>
        <v>0.95</v>
      </c>
      <c r="AN15" s="437"/>
      <c r="AO15" s="437" t="s">
        <v>724</v>
      </c>
      <c r="AP15" s="437" t="s">
        <v>60</v>
      </c>
      <c r="AQ15" s="437" t="s">
        <v>770</v>
      </c>
    </row>
    <row r="16" spans="2:43" ht="15.75" customHeight="1" x14ac:dyDescent="0.25">
      <c r="B16" s="412"/>
      <c r="C16" s="515" t="s">
        <v>778</v>
      </c>
      <c r="D16" s="456"/>
      <c r="E16" s="456"/>
      <c r="F16" s="452" t="s">
        <v>637</v>
      </c>
      <c r="G16" s="501"/>
      <c r="H16" s="501"/>
      <c r="I16" s="496"/>
      <c r="J16" s="155"/>
      <c r="L16" s="426"/>
      <c r="M16" s="520" t="str">
        <f>IF($G15="","Leader #1 ()","Leader #1 (" &amp; $G15 &amp; ")")</f>
        <v>Leader #1 ()</v>
      </c>
      <c r="N16" s="451" t="str">
        <f>IF($G$10="","",IF($AB$6=0,"",IF($AC$3=0,"",IF($G15="","",IF($AB32="","",IF($H15="Yes","Near Invulnerable",IF($AB32&gt;=0.9,"Suicide Mission",IF($AB32&gt;=0.75,"Survival Doubtful",IF($AB32&gt;=0.6,"Will Need Some Luck",IF($AB32&gt;=0.45,"Dangerous",IF($AB32&gt;=0.3,"Risky",IF($AB32&gt;=0.15,"At Some Risk",IF($AB32&gt;=0.03,"Unlikely","Near Invulnerable")))))))))))))</f>
        <v/>
      </c>
      <c r="O16" s="451" t="str">
        <f>IF($G$10="","",IF($AB$6=0,"",IF($AC$3=0,"",IF($G15="","",IF($AC32="","",IF($H15="Yes","Near Invulnerable",IF($AC32&gt;=0.9,"Suicide Mission",IF($AC32&gt;=0.75,"Survival Doubtful",IF($AC32&gt;=0.6,"Will Need Some Luck",IF($AC32&gt;=0.45,"Dangerous",IF($AC32&gt;=0.3,"Risky",IF($AC32&gt;=0.15,"At Some Risk",IF($AC32&gt;=0.03,"Unlikely","Near Invulnerable")))))))))))))</f>
        <v/>
      </c>
      <c r="P16" s="422"/>
      <c r="R16" s="430"/>
      <c r="S16" s="679"/>
      <c r="T16" s="559" t="s">
        <v>816</v>
      </c>
      <c r="U16" s="560" t="s">
        <v>817</v>
      </c>
      <c r="V16" s="429"/>
      <c r="W16" s="422"/>
      <c r="AA16" s="432" t="s">
        <v>625</v>
      </c>
      <c r="AB16" s="492">
        <f t="shared" si="2"/>
        <v>0</v>
      </c>
      <c r="AC16" s="415"/>
      <c r="AD16" s="415"/>
      <c r="AE16" s="498"/>
      <c r="AF16" s="563" t="s">
        <v>63</v>
      </c>
      <c r="AG16" s="564">
        <f t="shared" si="0"/>
        <v>10</v>
      </c>
      <c r="AH16" s="565">
        <v>14</v>
      </c>
      <c r="AI16" s="566">
        <v>1</v>
      </c>
      <c r="AJ16" s="566">
        <v>1</v>
      </c>
      <c r="AK16" s="566">
        <f>0.08+$AJ$75</f>
        <v>0.08</v>
      </c>
      <c r="AL16" s="566">
        <f t="shared" si="1"/>
        <v>1</v>
      </c>
      <c r="AM16" s="566">
        <f>0.95+$AL$75</f>
        <v>0.95</v>
      </c>
      <c r="AN16" s="437"/>
      <c r="AO16" s="437" t="s">
        <v>725</v>
      </c>
      <c r="AP16" s="437" t="s">
        <v>62</v>
      </c>
      <c r="AQ16" s="437" t="s">
        <v>551</v>
      </c>
    </row>
    <row r="17" spans="2:43" ht="15.75" customHeight="1" x14ac:dyDescent="0.25">
      <c r="B17" s="412"/>
      <c r="C17" s="456"/>
      <c r="D17" s="456"/>
      <c r="E17" s="456"/>
      <c r="F17" s="452" t="s">
        <v>639</v>
      </c>
      <c r="G17" s="501"/>
      <c r="H17" s="501"/>
      <c r="I17" s="496"/>
      <c r="J17" s="155"/>
      <c r="L17" s="426"/>
      <c r="M17" s="520" t="str">
        <f>IF($G16="","Leader #2 ()","Leader #2 (" &amp; $G16 &amp; ")")</f>
        <v>Leader #2 ()</v>
      </c>
      <c r="N17" s="451" t="str">
        <f>IF($G$10="","",IF($AB$6=0,"",IF($AC$3=0,"",IF($G16="","",IF($AB33="","",IF($H16="Yes","Near Invulnerable",IF($AB33&gt;=0.9,"Suicide Mission",IF($AB33&gt;=0.75,"Survival Doubtful",IF($AB33&gt;=0.6,"Will Need Some Luck",IF($AB33&gt;=0.45,"Dangerous",IF($AB33&gt;=0.3,"Risky",IF($AB33&gt;=0.15,"At Some Risk",IF($AB33&gt;=0.03,"Unlikely","Near Invulnerable")))))))))))))</f>
        <v/>
      </c>
      <c r="O17" s="451" t="str">
        <f>IF($G$10="","",IF($AB$6=0,"",IF($AC$3=0,"",IF($G16="","",IF($AC33="","",IF($H16="Yes","Near Invulnerable",IF($AC33&gt;=0.9,"Suicide Mission",IF($AC33&gt;=0.75,"Survival Doubtful",IF($AC33&gt;=0.6,"Will Need Some Luck",IF($AC33&gt;=0.45,"Dangerous",IF($AC33&gt;=0.3,"Risky",IF($AC33&gt;=0.15,"At Some Risk",IF($AC33&gt;=0.03,"Unlikely","Near Invulnerable")))))))))))))</f>
        <v/>
      </c>
      <c r="P17" s="422"/>
      <c r="R17" s="430"/>
      <c r="S17" s="679"/>
      <c r="T17" s="431" t="s">
        <v>626</v>
      </c>
      <c r="U17" s="431" t="s">
        <v>627</v>
      </c>
      <c r="V17" s="429"/>
      <c r="W17" s="422"/>
      <c r="AA17" s="432" t="s">
        <v>628</v>
      </c>
      <c r="AB17" s="492">
        <f t="shared" si="2"/>
        <v>0</v>
      </c>
      <c r="AC17" s="415"/>
      <c r="AD17" s="415"/>
      <c r="AE17" s="498"/>
      <c r="AF17" s="563" t="s">
        <v>65</v>
      </c>
      <c r="AG17" s="564">
        <f t="shared" si="0"/>
        <v>10</v>
      </c>
      <c r="AH17" s="565">
        <v>10</v>
      </c>
      <c r="AI17" s="566">
        <v>1</v>
      </c>
      <c r="AJ17" s="566">
        <v>1</v>
      </c>
      <c r="AK17" s="566">
        <f>0.06+$AJ$75</f>
        <v>0.06</v>
      </c>
      <c r="AL17" s="566">
        <f t="shared" si="1"/>
        <v>1</v>
      </c>
      <c r="AM17" s="566">
        <f>0.75+$AL$75</f>
        <v>0.75</v>
      </c>
      <c r="AN17" s="437"/>
      <c r="AO17" s="437" t="s">
        <v>726</v>
      </c>
      <c r="AP17" s="437" t="s">
        <v>64</v>
      </c>
      <c r="AQ17" s="437" t="s">
        <v>770</v>
      </c>
    </row>
    <row r="18" spans="2:43" ht="15.75" customHeight="1" x14ac:dyDescent="0.25">
      <c r="B18" s="423"/>
      <c r="C18" s="424"/>
      <c r="D18" s="424"/>
      <c r="E18" s="424"/>
      <c r="F18" s="424"/>
      <c r="G18" s="424"/>
      <c r="H18" s="424"/>
      <c r="I18" s="424"/>
      <c r="J18" s="425"/>
      <c r="L18" s="426"/>
      <c r="M18" s="520" t="str">
        <f>IF($G17="","Leader #3 ()","Leader #3 (" &amp; $G17 &amp; ")")</f>
        <v>Leader #3 ()</v>
      </c>
      <c r="N18" s="451" t="str">
        <f>IF($G$10="","",IF($AB$6=0,"",IF($AC$3=0,"",IF($G17="","",IF($AB34="","",IF($H17="Yes","Near Invulnerable",IF($AB34&gt;=0.9,"Suicide Mission",IF($AB34&gt;=0.75,"Survival Doubtful",IF($AB34&gt;=0.6,"Will Need Some Luck",IF($AB34&gt;=0.45,"Dangerous",IF($AB34&gt;=0.3,"Risky",IF($AB34&gt;=0.15,"At Some Risk",IF($AB34&gt;=0.03,"Unlikely","Near Invulnerable")))))))))))))</f>
        <v/>
      </c>
      <c r="O18" s="451" t="str">
        <f>IF($G$10="","",IF($AB$6=0,"",IF($AC$3=0,"",IF($G17="","",IF($AC34="","",IF($H17="Yes","Near Invulnerable",IF($AC34&gt;=0.9,"Suicide Mission",IF($AC34&gt;=0.75,"Survival Doubtful",IF($AC34&gt;=0.6,"Will Need Some Luck",IF($AC34&gt;=0.45,"Dangerous",IF($AC34&gt;=0.3,"Risky",IF($AC34&gt;=0.15,"At Some Risk",IF($AC34&gt;=0.03,"Unlikely","Near Invulnerable")))))))))))))</f>
        <v/>
      </c>
      <c r="P18" s="422"/>
      <c r="R18" s="430"/>
      <c r="S18" s="679"/>
      <c r="T18" s="434" t="s">
        <v>630</v>
      </c>
      <c r="U18" s="434" t="s">
        <v>631</v>
      </c>
      <c r="V18" s="429"/>
      <c r="W18" s="422"/>
      <c r="AA18" s="432" t="s">
        <v>632</v>
      </c>
      <c r="AB18" s="492">
        <f t="shared" si="2"/>
        <v>0</v>
      </c>
      <c r="AC18" s="415"/>
      <c r="AD18" s="415"/>
      <c r="AE18" s="498"/>
      <c r="AF18" s="563" t="s">
        <v>67</v>
      </c>
      <c r="AG18" s="564">
        <f t="shared" si="0"/>
        <v>10</v>
      </c>
      <c r="AH18" s="565">
        <v>8</v>
      </c>
      <c r="AI18" s="566">
        <v>1</v>
      </c>
      <c r="AJ18" s="566">
        <v>1</v>
      </c>
      <c r="AK18" s="566">
        <f>0.06+$AJ$75</f>
        <v>0.06</v>
      </c>
      <c r="AL18" s="566">
        <f t="shared" si="1"/>
        <v>1</v>
      </c>
      <c r="AM18" s="566">
        <f>0.75+$AL$75</f>
        <v>0.75</v>
      </c>
      <c r="AN18" s="437"/>
      <c r="AO18" s="437" t="s">
        <v>727</v>
      </c>
      <c r="AP18" s="437" t="s">
        <v>66</v>
      </c>
      <c r="AQ18" s="437" t="s">
        <v>554</v>
      </c>
    </row>
    <row r="19" spans="2:43" ht="15.75" customHeight="1" x14ac:dyDescent="0.25">
      <c r="B19" s="412"/>
      <c r="C19" s="414"/>
      <c r="D19" s="414"/>
      <c r="E19" s="414"/>
      <c r="F19" s="414"/>
      <c r="G19" s="414"/>
      <c r="H19" s="414"/>
      <c r="I19" s="414"/>
      <c r="J19" s="155"/>
      <c r="L19" s="426"/>
      <c r="M19" s="520" t="str">
        <f>IF($G22="","Wizard #1 ()","Wizard #1 (" &amp; $G22 &amp; ")")</f>
        <v>Wizard #1 ()</v>
      </c>
      <c r="N19" s="451" t="str">
        <f>IF($G$10="","",IF($AB$6=0,"",IF($AC$3=0,"",IF($G22="","",IF($AB35="","",IF($AB35&gt;=0.9,"Suicide Mission",IF($AB35&gt;=0.75,"Survival Doubtful",IF($AB35&gt;=0.6,"Will Need Some Luck",IF($AB35&gt;=0.45,"Dangerous",IF($AB35&gt;=0.3,"Risky",IF($AB35&gt;=0.15,"At Some Risk",IF($AB35&gt;=0.03,"Unlikely","Near Invulnerable"))))))))))))</f>
        <v/>
      </c>
      <c r="O19" s="451" t="str">
        <f>IF($G$10="","",IF($AB$6=0,"",IF($AC$3=0,"",IF($G22="","",IF($AC35="","",IF($AC35&gt;=0.9,"Suicide Mission",IF($AC35&gt;=0.75,"Survival Doubtful",IF($AC35&gt;=0.6,"Will Need Some Luck",IF($AC35&gt;=0.45,"Dangerous",IF($AC35&gt;=0.3,"Risky",IF($AC35&gt;=0.15,"At Some Risk",IF($AC35&gt;=0.03,"Unlikely","Near Invulnerable"))))))))))))</f>
        <v/>
      </c>
      <c r="P19" s="422"/>
      <c r="R19" s="430"/>
      <c r="S19" s="679"/>
      <c r="T19" s="436" t="s">
        <v>638</v>
      </c>
      <c r="U19" s="436" t="s">
        <v>638</v>
      </c>
      <c r="V19" s="429"/>
      <c r="W19" s="422"/>
      <c r="AA19" s="432" t="s">
        <v>782</v>
      </c>
      <c r="AB19" s="492">
        <f t="shared" si="2"/>
        <v>0</v>
      </c>
      <c r="AC19" s="415"/>
      <c r="AD19" s="415"/>
      <c r="AE19" s="498"/>
      <c r="AF19" s="563" t="s">
        <v>69</v>
      </c>
      <c r="AG19" s="564">
        <f t="shared" si="0"/>
        <v>10</v>
      </c>
      <c r="AH19" s="565">
        <v>10</v>
      </c>
      <c r="AI19" s="566">
        <v>1</v>
      </c>
      <c r="AJ19" s="566">
        <v>1</v>
      </c>
      <c r="AK19" s="566">
        <f>0.1+$AJ$75</f>
        <v>0.1</v>
      </c>
      <c r="AL19" s="566">
        <f t="shared" si="1"/>
        <v>1</v>
      </c>
      <c r="AM19" s="566">
        <f>1.05+$AL$75</f>
        <v>1.05</v>
      </c>
      <c r="AN19" s="408"/>
      <c r="AO19" s="408" t="s">
        <v>728</v>
      </c>
      <c r="AP19" s="408" t="s">
        <v>68</v>
      </c>
      <c r="AQ19" s="408" t="s">
        <v>770</v>
      </c>
    </row>
    <row r="20" spans="2:43" ht="15.75" customHeight="1" x14ac:dyDescent="0.25">
      <c r="B20" s="412"/>
      <c r="C20" s="413" t="s">
        <v>775</v>
      </c>
      <c r="D20" s="414"/>
      <c r="E20" s="414"/>
      <c r="F20" s="414"/>
      <c r="G20" s="638" t="s">
        <v>737</v>
      </c>
      <c r="H20" s="638" t="s">
        <v>774</v>
      </c>
      <c r="I20" s="638"/>
      <c r="J20" s="155"/>
      <c r="L20" s="426"/>
      <c r="M20" s="520" t="str">
        <f>IF($G23="","Wizard #2 ()","Wizard #2 (" &amp; $G23 &amp; ")")</f>
        <v>Wizard #2 ()</v>
      </c>
      <c r="N20" s="451" t="str">
        <f>IF($G$10="","",IF($AB$6=0,"",IF($AC$3=0,"",IF($G23="","",IF($AB36="","",IF($AB36&gt;=0.9,"Suicide Mission",IF($AB36&gt;=0.75,"Survival Doubtful",IF($AB36&gt;=0.6,"Will Need Some Luck",IF($AB36&gt;=0.45,"Dangerous",IF($AB36&gt;=0.3,"Risky",IF($AB36&gt;=0.15,"At Some Risk",IF($AB36&gt;=0.03,"Unlikely","Near Invulnerable"))))))))))))</f>
        <v/>
      </c>
      <c r="O20" s="451" t="str">
        <f>IF($G$10="","",IF($AB$6=0,"",IF($AC$3=0,"",IF($G23="","",IF($AC36="","",IF($AC36&gt;=0.9,"Suicide Mission",IF($AC36&gt;=0.75,"Survival Doubtful",IF($AC36&gt;=0.6,"Will Need Some Luck",IF($AC36&gt;=0.45,"Dangerous",IF($AC36&gt;=0.3,"Risky",IF($AC36&gt;=0.15,"At Some Risk",IF($AC36&gt;=0.03,"Unlikely","Near Invulnerable"))))))))))))</f>
        <v/>
      </c>
      <c r="P20" s="422"/>
      <c r="R20" s="430"/>
      <c r="S20" s="679"/>
      <c r="T20" s="443" t="s">
        <v>640</v>
      </c>
      <c r="U20" s="443" t="s">
        <v>640</v>
      </c>
      <c r="V20" s="429"/>
      <c r="W20" s="422"/>
      <c r="AA20" s="432" t="s">
        <v>783</v>
      </c>
      <c r="AB20" s="492">
        <f t="shared" si="2"/>
        <v>0</v>
      </c>
      <c r="AC20" s="415"/>
      <c r="AD20" s="415"/>
      <c r="AE20" s="498"/>
      <c r="AF20" s="563" t="s">
        <v>71</v>
      </c>
      <c r="AG20" s="564">
        <f t="shared" si="0"/>
        <v>10</v>
      </c>
      <c r="AH20" s="565">
        <v>4</v>
      </c>
      <c r="AI20" s="566">
        <v>1</v>
      </c>
      <c r="AJ20" s="566">
        <v>1</v>
      </c>
      <c r="AK20" s="566">
        <f>0.03+$AJ$75</f>
        <v>0.03</v>
      </c>
      <c r="AL20" s="566">
        <f t="shared" si="1"/>
        <v>1</v>
      </c>
      <c r="AM20" s="566">
        <f>0.7+$AL$75</f>
        <v>0.7</v>
      </c>
      <c r="AN20" s="408"/>
      <c r="AO20" s="408" t="s">
        <v>609</v>
      </c>
      <c r="AP20" s="408" t="s">
        <v>70</v>
      </c>
      <c r="AQ20" s="408" t="s">
        <v>779</v>
      </c>
    </row>
    <row r="21" spans="2:43" ht="15.75" customHeight="1" x14ac:dyDescent="0.25">
      <c r="B21" s="412"/>
      <c r="C21" s="499" t="s">
        <v>777</v>
      </c>
      <c r="D21" s="414"/>
      <c r="E21" s="414"/>
      <c r="F21" s="414"/>
      <c r="G21" s="666"/>
      <c r="H21" s="639"/>
      <c r="I21" s="639"/>
      <c r="J21" s="155"/>
      <c r="L21" s="426"/>
      <c r="M21" s="520" t="str">
        <f>IF($G24="","Wizard #3 ()","Wizard #3 (" &amp; $G24 &amp; ")")</f>
        <v>Wizard #3 ()</v>
      </c>
      <c r="N21" s="451" t="str">
        <f>IF($G$10="","",IF($AB$6=0,"",IF($AC$3=0,"",IF($G24="","",IF($AB37="","",IF($AB37&gt;=0.9,"Suicide Mission",IF($AB37&gt;=0.75,"Survival Doubtful",IF($AB37&gt;=0.6,"Will Need Some Luck",IF($AB37&gt;=0.45,"Dangerous",IF($AB37&gt;=0.3,"Risky",IF($AB37&gt;=0.15,"At Some Risk",IF($AB37&gt;=0.03,"Unlikely","Near Invulnerable"))))))))))))</f>
        <v/>
      </c>
      <c r="O21" s="451" t="str">
        <f>IF($G$10="","",IF($AB$6=0,"",IF($AC$3=0,"",IF($G24="","",IF($AC37="","",IF($AC37&gt;=0.9,"Suicide Mission",IF($AC37&gt;=0.75,"Survival Doubtful",IF($AC37&gt;=0.6,"Will Need Some Luck",IF($AC37&gt;=0.45,"Dangerous",IF($AC37&gt;=0.3,"Risky",IF($AC37&gt;=0.15,"At Some Risk",IF($AC37&gt;=0.03,"Unlikely","Near Invulnerable"))))))))))))</f>
        <v/>
      </c>
      <c r="P21" s="422"/>
      <c r="R21" s="430"/>
      <c r="S21" s="679"/>
      <c r="T21" s="445" t="s">
        <v>644</v>
      </c>
      <c r="U21" s="445" t="s">
        <v>645</v>
      </c>
      <c r="V21" s="429"/>
      <c r="W21" s="422"/>
      <c r="AA21" s="432"/>
      <c r="AB21" s="433"/>
      <c r="AC21" s="415"/>
      <c r="AD21" s="415"/>
      <c r="AE21" s="498"/>
      <c r="AF21" s="563" t="s">
        <v>73</v>
      </c>
      <c r="AG21" s="564">
        <f t="shared" si="0"/>
        <v>10</v>
      </c>
      <c r="AH21" s="565">
        <v>6</v>
      </c>
      <c r="AI21" s="566">
        <v>1</v>
      </c>
      <c r="AJ21" s="566">
        <v>1</v>
      </c>
      <c r="AK21" s="566">
        <f>0.03+$AJ$75</f>
        <v>0.03</v>
      </c>
      <c r="AL21" s="566">
        <f t="shared" si="1"/>
        <v>1</v>
      </c>
      <c r="AM21" s="566">
        <f>0.7+$AL$75</f>
        <v>0.7</v>
      </c>
      <c r="AN21" s="408"/>
      <c r="AO21" s="408" t="s">
        <v>729</v>
      </c>
      <c r="AP21" s="408" t="s">
        <v>72</v>
      </c>
      <c r="AQ21" s="408" t="s">
        <v>771</v>
      </c>
    </row>
    <row r="22" spans="2:43" ht="15.75" customHeight="1" thickBot="1" x14ac:dyDescent="0.25">
      <c r="B22" s="412"/>
      <c r="C22" s="516" t="s">
        <v>776</v>
      </c>
      <c r="D22" s="414"/>
      <c r="E22" s="414"/>
      <c r="F22" s="452" t="s">
        <v>629</v>
      </c>
      <c r="G22" s="501"/>
      <c r="H22" s="636"/>
      <c r="I22" s="636"/>
      <c r="J22" s="575">
        <f>IF(G22="",0,1)</f>
        <v>0</v>
      </c>
      <c r="L22" s="440"/>
      <c r="M22" s="441"/>
      <c r="N22" s="441"/>
      <c r="O22" s="441"/>
      <c r="P22" s="442"/>
      <c r="R22" s="430"/>
      <c r="S22" s="679"/>
      <c r="T22" s="446" t="s">
        <v>598</v>
      </c>
      <c r="U22" s="446" t="s">
        <v>647</v>
      </c>
      <c r="V22" s="429"/>
      <c r="W22" s="422"/>
      <c r="AA22" s="403"/>
      <c r="AB22" s="461" t="s">
        <v>641</v>
      </c>
      <c r="AC22" s="461" t="s">
        <v>554</v>
      </c>
      <c r="AD22" s="461" t="s">
        <v>642</v>
      </c>
      <c r="AE22" s="498"/>
      <c r="AF22" s="563" t="s">
        <v>75</v>
      </c>
      <c r="AG22" s="564">
        <f t="shared" si="0"/>
        <v>10</v>
      </c>
      <c r="AH22" s="565">
        <v>14</v>
      </c>
      <c r="AI22" s="566">
        <v>1</v>
      </c>
      <c r="AJ22" s="566">
        <v>1</v>
      </c>
      <c r="AK22" s="566">
        <f>0+$AJ$75</f>
        <v>0</v>
      </c>
      <c r="AL22" s="566">
        <f t="shared" si="1"/>
        <v>1</v>
      </c>
      <c r="AM22" s="566">
        <f>0.5+$AL$75</f>
        <v>0.5</v>
      </c>
      <c r="AN22" s="408"/>
      <c r="AO22" s="408" t="s">
        <v>730</v>
      </c>
      <c r="AP22" s="408" t="s">
        <v>74</v>
      </c>
      <c r="AQ22" s="408" t="s">
        <v>551</v>
      </c>
    </row>
    <row r="23" spans="2:43" ht="15.75" customHeight="1" thickTop="1" x14ac:dyDescent="0.25">
      <c r="B23" s="412"/>
      <c r="C23" s="625" t="str">
        <f>IF($G$4="","",IF($G$7="","",IF($G$7="Enigma","Enigma encounters do not require you to have a Wizard present to cast the 'Light of the Evening Star' or 'Bridge of Mist' spells.",IF($G$7="Fine","Fine encounters do not require you to have a Wizard present to cast the 'Light ofthe Evening Star' or 'Bridge of Mist' spells.","The " &amp; VLOOKUP($G$4,$AF$2:$AP$25,11,FALSE) &amp; IF($AG$71=""," kingdom does not have the Adventurer Trait. You must cast " &amp; IF($G$7="Excellent","'Light of the Evening Star' to investigate this encounter (unless you have a Wizard with this intrinsic ability joining the patrol).","'Bridge of Mist' in order to investigate this encounter (unless you have a Wizard with this intrinsic ability joining the patrol).")," kingdom has the Adventurer Trait. The " &amp; IF($G$7="Excellent","'Light of the Evening Star' spell is not required to investigate this encounter.","'Bridge of Mist' spell is not required to investigate this encounter."))))))</f>
        <v/>
      </c>
      <c r="D23" s="626"/>
      <c r="E23" s="627"/>
      <c r="F23" s="452" t="s">
        <v>637</v>
      </c>
      <c r="G23" s="501"/>
      <c r="H23" s="636"/>
      <c r="I23" s="636"/>
      <c r="J23" s="575">
        <f t="shared" ref="J23:J24" si="3">IF(G23="",0,1)</f>
        <v>0</v>
      </c>
      <c r="L23" s="640" t="s">
        <v>812</v>
      </c>
      <c r="M23" s="641"/>
      <c r="N23" s="641"/>
      <c r="O23" s="641"/>
      <c r="P23" s="642"/>
      <c r="R23" s="430"/>
      <c r="S23" s="679"/>
      <c r="T23" s="448" t="s">
        <v>615</v>
      </c>
      <c r="U23" s="448" t="s">
        <v>649</v>
      </c>
      <c r="V23" s="429"/>
      <c r="W23" s="422"/>
      <c r="AA23" s="411" t="s">
        <v>646</v>
      </c>
      <c r="AB23" s="493">
        <f>IF(AB$3=0,0,$AB$6/AB$3)</f>
        <v>0</v>
      </c>
      <c r="AC23" s="493">
        <f t="shared" ref="AC23:AD23" si="4">IF(AC$3=0,0,$AB$6/AC$3)</f>
        <v>0</v>
      </c>
      <c r="AD23" s="493">
        <f t="shared" si="4"/>
        <v>0</v>
      </c>
      <c r="AE23" s="498"/>
      <c r="AF23" s="563" t="s">
        <v>77</v>
      </c>
      <c r="AG23" s="564">
        <f t="shared" si="0"/>
        <v>10</v>
      </c>
      <c r="AH23" s="565">
        <v>6</v>
      </c>
      <c r="AI23" s="566">
        <v>1</v>
      </c>
      <c r="AJ23" s="566">
        <v>1</v>
      </c>
      <c r="AK23" s="566">
        <f>0+$AJ$75</f>
        <v>0</v>
      </c>
      <c r="AL23" s="566">
        <f t="shared" si="1"/>
        <v>1</v>
      </c>
      <c r="AM23" s="566">
        <f>0.6+$AL$75</f>
        <v>0.6</v>
      </c>
      <c r="AN23" s="408"/>
      <c r="AO23" s="408" t="s">
        <v>731</v>
      </c>
      <c r="AP23" s="408" t="s">
        <v>76</v>
      </c>
      <c r="AQ23" s="408" t="s">
        <v>771</v>
      </c>
    </row>
    <row r="24" spans="2:43" ht="15.75" customHeight="1" x14ac:dyDescent="0.25">
      <c r="B24" s="412"/>
      <c r="C24" s="628"/>
      <c r="D24" s="629"/>
      <c r="E24" s="630"/>
      <c r="F24" s="452" t="s">
        <v>639</v>
      </c>
      <c r="G24" s="501"/>
      <c r="H24" s="636"/>
      <c r="I24" s="636"/>
      <c r="J24" s="575">
        <f t="shared" si="3"/>
        <v>0</v>
      </c>
      <c r="L24" s="643"/>
      <c r="M24" s="644"/>
      <c r="N24" s="644"/>
      <c r="O24" s="644"/>
      <c r="P24" s="645"/>
      <c r="R24" s="430"/>
      <c r="S24" s="679"/>
      <c r="T24" s="449" t="s">
        <v>651</v>
      </c>
      <c r="U24" s="449" t="s">
        <v>652</v>
      </c>
      <c r="V24" s="429"/>
      <c r="W24" s="422"/>
      <c r="AA24" s="411"/>
      <c r="AB24" s="464"/>
      <c r="AC24" s="464"/>
      <c r="AD24" s="464"/>
      <c r="AE24" s="498"/>
      <c r="AF24" s="563" t="s">
        <v>79</v>
      </c>
      <c r="AG24" s="564">
        <f t="shared" si="0"/>
        <v>10</v>
      </c>
      <c r="AH24" s="565">
        <v>10</v>
      </c>
      <c r="AI24" s="566">
        <v>1</v>
      </c>
      <c r="AJ24" s="566">
        <v>1</v>
      </c>
      <c r="AK24" s="566">
        <f>0+$AJ$75</f>
        <v>0</v>
      </c>
      <c r="AL24" s="566">
        <f t="shared" si="1"/>
        <v>1</v>
      </c>
      <c r="AM24" s="566">
        <f>0.6+$AL$75</f>
        <v>0.6</v>
      </c>
      <c r="AN24" s="408"/>
      <c r="AO24" s="408" t="s">
        <v>732</v>
      </c>
      <c r="AP24" s="408" t="s">
        <v>78</v>
      </c>
      <c r="AQ24" s="408" t="s">
        <v>770</v>
      </c>
    </row>
    <row r="25" spans="2:43" ht="15.75" customHeight="1" x14ac:dyDescent="0.2">
      <c r="B25" s="412"/>
      <c r="C25" s="631"/>
      <c r="D25" s="632"/>
      <c r="E25" s="633"/>
      <c r="F25" s="414"/>
      <c r="G25" s="514" t="str">
        <f>IF($G$4="","",CONCATENATE("Magical Prowess:  ",VLOOKUP($G$4,$AF$2:$AQ$25,12,FALSE)))</f>
        <v/>
      </c>
      <c r="H25" s="414"/>
      <c r="I25" s="414"/>
      <c r="J25" s="575">
        <f>SUM(J22:J24)</f>
        <v>0</v>
      </c>
      <c r="L25" s="426"/>
      <c r="M25" s="447"/>
      <c r="N25" s="668" t="s">
        <v>654</v>
      </c>
      <c r="O25" s="668" t="s">
        <v>655</v>
      </c>
      <c r="P25" s="422"/>
      <c r="R25" s="430"/>
      <c r="S25" s="465"/>
      <c r="T25" s="466"/>
      <c r="U25" s="466"/>
      <c r="V25" s="467"/>
      <c r="W25" s="422"/>
      <c r="AA25" s="403"/>
      <c r="AB25" s="461" t="s">
        <v>650</v>
      </c>
      <c r="AC25" s="415"/>
      <c r="AD25" s="415"/>
      <c r="AE25" s="498"/>
      <c r="AF25" s="563" t="s">
        <v>81</v>
      </c>
      <c r="AG25" s="564">
        <f t="shared" si="0"/>
        <v>10</v>
      </c>
      <c r="AH25" s="565">
        <v>14</v>
      </c>
      <c r="AI25" s="566">
        <v>1</v>
      </c>
      <c r="AJ25" s="566">
        <v>1</v>
      </c>
      <c r="AK25" s="566">
        <f>0+$AJ$75</f>
        <v>0</v>
      </c>
      <c r="AL25" s="566">
        <f t="shared" si="1"/>
        <v>1</v>
      </c>
      <c r="AM25" s="566">
        <f>0.5+$AL$75</f>
        <v>0.5</v>
      </c>
      <c r="AN25" s="408"/>
      <c r="AO25" s="408" t="s">
        <v>733</v>
      </c>
      <c r="AP25" s="408" t="s">
        <v>80</v>
      </c>
      <c r="AQ25" s="408" t="s">
        <v>551</v>
      </c>
    </row>
    <row r="26" spans="2:43" ht="15.75" customHeight="1" thickBot="1" x14ac:dyDescent="0.3">
      <c r="B26" s="423"/>
      <c r="C26" s="424"/>
      <c r="D26" s="424"/>
      <c r="E26" s="518" t="str">
        <f>IF($J$25=0,"",IF($G$4="","",IF($G$7="","",IF($G$7="Enigma","",IF($G$7="Fine","",IF(RIGHT($C$23,20)&lt;&gt;"joining the patrol).",IF($G$7="Excellent",IF(LEFT($H$22,3)="132","*** Spell #132 not needed",IF(LEFT($H$23,3)="132","*** Spell #132 not needed",IF(LEFT($H$24,3)="132","*** Spell #132 not needed",""))),IF(LEFT($H$22,3)="133","*** Spell #133 not needed",IF(LEFT($H$23,3)="133","*** Spell #133 not needed",IF(LEFT($H$24,3)="133","*** Spell #133 not needed","")))),IF($G$7="Excellent",IF(LEFT($H$22,3)="132","[ X ]  Requirement satisfied",IF(LEFT($H$23,3)="132","[ X ]  Requirement satisfied",IF(LEFT($H$24,3)="132","[ X ]  Requirement satisfied",""))),IF(LEFT($H$22,3)="133","[ X ]  Requirement satisfied",IF(LEFT($H$23,3)="133","[ X ]  Requirement satisfied",IF(LEFT($H$24,3)="133","[ X ]  Requirement satisfied",""))))))))))</f>
        <v/>
      </c>
      <c r="F26" s="424"/>
      <c r="G26" s="513"/>
      <c r="H26" s="424"/>
      <c r="I26" s="424"/>
      <c r="J26" s="425"/>
      <c r="L26" s="426"/>
      <c r="M26" s="447"/>
      <c r="N26" s="668"/>
      <c r="O26" s="668"/>
      <c r="P26" s="422"/>
      <c r="R26" s="468"/>
      <c r="S26" s="469"/>
      <c r="T26" s="441"/>
      <c r="U26" s="441"/>
      <c r="V26" s="441"/>
      <c r="W26" s="442"/>
      <c r="AA26" s="411" t="s">
        <v>653</v>
      </c>
      <c r="AB26" s="493">
        <f>IF($G10="",0,VLOOKUP($G10,$AF$66:$AH$68,2,FALSE))</f>
        <v>0</v>
      </c>
      <c r="AC26" s="415"/>
      <c r="AD26" s="415"/>
    </row>
    <row r="27" spans="2:43" ht="15.75" customHeight="1" thickTop="1" x14ac:dyDescent="0.25">
      <c r="B27" s="412"/>
      <c r="C27" s="414"/>
      <c r="D27" s="414"/>
      <c r="E27" s="414"/>
      <c r="F27" s="414"/>
      <c r="G27" s="414"/>
      <c r="H27" s="414"/>
      <c r="I27" s="414"/>
      <c r="J27" s="155"/>
      <c r="L27" s="426"/>
      <c r="M27" s="447"/>
      <c r="N27" s="669"/>
      <c r="O27" s="669"/>
      <c r="P27" s="422"/>
      <c r="R27" s="505"/>
      <c r="S27" s="667" t="str">
        <f>IF($G$4="","Kingdom",VLOOKUP($G$4,$AF$2:$AO$25,10))</f>
        <v>Kingdom</v>
      </c>
      <c r="T27" s="667"/>
      <c r="U27" s="667"/>
      <c r="V27" s="667"/>
      <c r="W27" s="506"/>
      <c r="AA27" s="411"/>
      <c r="AB27" s="464"/>
      <c r="AC27" s="415"/>
      <c r="AD27" s="415"/>
      <c r="AF27" s="399" t="s">
        <v>633</v>
      </c>
      <c r="AG27" s="399" t="s">
        <v>634</v>
      </c>
      <c r="AH27" s="399" t="s">
        <v>635</v>
      </c>
      <c r="AI27" s="453" t="s">
        <v>636</v>
      </c>
      <c r="AJ27" s="454"/>
      <c r="AK27" s="454"/>
      <c r="AL27" s="454"/>
      <c r="AM27" s="454"/>
      <c r="AN27" s="455"/>
    </row>
    <row r="28" spans="2:43" ht="15.75" customHeight="1" x14ac:dyDescent="0.25">
      <c r="B28" s="412"/>
      <c r="C28" s="414"/>
      <c r="D28" s="414"/>
      <c r="E28" s="519"/>
      <c r="F28" s="414"/>
      <c r="G28" s="638" t="s">
        <v>666</v>
      </c>
      <c r="H28" s="638"/>
      <c r="I28" s="496"/>
      <c r="J28" s="155"/>
      <c r="L28" s="426"/>
      <c r="M28" s="520" t="str">
        <f>IF($G15="","Leader #1 ()","Leader #1 (" &amp; $G15 &amp; ")")</f>
        <v>Leader #1 ()</v>
      </c>
      <c r="N28" s="451" t="str">
        <f>IF($G$10="","",IF($AB$6=0,"",IF($AC$3=0,"",IF($G15="","",IF($G15="Warlord","n/a",IF($AB40&gt;=0.97,"Near Certainty",IF($AB40&gt;=0.9,"Very Probable",IF($AB40&gt;=0.75,"Likely",IF($AB40&gt;=0.6,"Good",IF($AB40&gt;=0.45,"Questionable",IF($AB40&gt;=0.3,"Unlikely",IF($AB40&gt;=0.15,"Slight","Almost Impossible"))))))))))))</f>
        <v/>
      </c>
      <c r="O28" s="451" t="str">
        <f>IF($G$10="","",IF($AB$6=0,"",IF($AC$3=0,"",IF($G15="","",IF($G15="Warlord","n/a",IF($AC40&gt;=0.97,"Near Certainty",IF($AC40&gt;=0.9,"Very Probable",IF($AC40&gt;=0.75,"Likely",IF($AC40&gt;=0.6,"Good",IF($AC40&gt;=0.45,"Questionable",IF($AC40&gt;=0.3,"Unlikely",IF($AC40&gt;=0.15,"Slight","Almost Impossible"))))))))))))</f>
        <v/>
      </c>
      <c r="P28" s="422"/>
      <c r="R28" s="507"/>
      <c r="S28" s="653" t="str">
        <f>IF($G$4="","",IF(LEFT($AG$75,1)=";",TRIM(MID($AG$75,3,255)),$AG$75))</f>
        <v/>
      </c>
      <c r="T28" s="654"/>
      <c r="U28" s="654"/>
      <c r="V28" s="655"/>
      <c r="W28" s="508"/>
      <c r="AA28" s="403"/>
      <c r="AB28" s="461" t="s">
        <v>641</v>
      </c>
      <c r="AC28" s="461" t="s">
        <v>554</v>
      </c>
      <c r="AD28" s="461" t="s">
        <v>642</v>
      </c>
      <c r="AF28" s="457" t="s">
        <v>805</v>
      </c>
      <c r="AG28" s="111">
        <v>0</v>
      </c>
      <c r="AH28" s="111">
        <v>0</v>
      </c>
      <c r="AI28" s="458" t="s">
        <v>757</v>
      </c>
      <c r="AJ28" s="459"/>
      <c r="AK28" s="459"/>
      <c r="AL28" s="459"/>
      <c r="AM28" s="459"/>
      <c r="AN28" s="460"/>
    </row>
    <row r="29" spans="2:43" ht="15.75" customHeight="1" x14ac:dyDescent="0.25">
      <c r="B29" s="412"/>
      <c r="C29" s="414"/>
      <c r="D29" s="414"/>
      <c r="E29" s="414"/>
      <c r="F29" s="414"/>
      <c r="G29" s="639"/>
      <c r="H29" s="639"/>
      <c r="I29" s="496"/>
      <c r="J29" s="155"/>
      <c r="L29" s="426"/>
      <c r="M29" s="520" t="str">
        <f>IF($G16="","Leader #2 ()","Leader #2 (" &amp; $G16 &amp; ")")</f>
        <v>Leader #2 ()</v>
      </c>
      <c r="N29" s="451" t="str">
        <f>IF($G$10="","",IF($AB$6=0,"",IF($AC$3=0,"",IF($G16="","",IF($G16="Warlord","n/a",IF($AB41&gt;=0.97,"Near Certainty",IF($AB41&gt;=0.9,"Very Probable",IF($AB41&gt;=0.75,"Likely",IF($AB41&gt;=0.6,"Good",IF($AB41&gt;=0.45,"Questionable",IF($AB41&gt;=0.3,"Unlikely",IF($AB41&gt;=0.15,"Slight","Almost Impossible"))))))))))))</f>
        <v/>
      </c>
      <c r="O29" s="451" t="str">
        <f>IF($G$10="","",IF($AB$6=0,"",IF($AC$3=0,"",IF($G16="","",IF($G16="Warlord","n/a",IF($AC41&gt;=0.97,"Near Certainty",IF($AC41&gt;=0.9,"Very Probable",IF($AC41&gt;=0.75,"Likely",IF($AC41&gt;=0.6,"Good",IF($AC41&gt;=0.45,"Questionable",IF($AC41&gt;=0.3,"Unlikely",IF($AC41&gt;=0.15,"Slight","Almost Impossible"))))))))))))</f>
        <v/>
      </c>
      <c r="P29" s="422"/>
      <c r="R29" s="473"/>
      <c r="S29" s="656"/>
      <c r="T29" s="657"/>
      <c r="U29" s="657"/>
      <c r="V29" s="658"/>
      <c r="W29" s="474"/>
      <c r="AA29" s="411" t="s">
        <v>663</v>
      </c>
      <c r="AB29" s="493">
        <f>AB$23*$AB$26</f>
        <v>0</v>
      </c>
      <c r="AC29" s="493">
        <f>AC$23*$AB$26</f>
        <v>0</v>
      </c>
      <c r="AD29" s="493">
        <f>AD$23*$AB$26</f>
        <v>0</v>
      </c>
      <c r="AF29" s="457" t="s">
        <v>806</v>
      </c>
      <c r="AG29" s="111">
        <v>30</v>
      </c>
      <c r="AH29" s="111">
        <v>50</v>
      </c>
      <c r="AI29" s="458" t="s">
        <v>643</v>
      </c>
      <c r="AJ29" s="462"/>
      <c r="AK29" s="462"/>
      <c r="AL29" s="462"/>
      <c r="AM29" s="462"/>
      <c r="AN29" s="463"/>
    </row>
    <row r="30" spans="2:43" ht="15.75" customHeight="1" x14ac:dyDescent="0.25">
      <c r="B30" s="412"/>
      <c r="C30" s="413" t="s">
        <v>667</v>
      </c>
      <c r="D30" s="413"/>
      <c r="E30" s="413"/>
      <c r="F30" s="452" t="s">
        <v>629</v>
      </c>
      <c r="G30" s="634"/>
      <c r="H30" s="634"/>
      <c r="I30" s="496"/>
      <c r="J30" s="155"/>
      <c r="L30" s="426"/>
      <c r="M30" s="520" t="str">
        <f>IF($G17="","Leader #3 ()","Leader #3 (" &amp; $G17 &amp; ")")</f>
        <v>Leader #3 ()</v>
      </c>
      <c r="N30" s="451" t="str">
        <f>IF($G$10="","",IF($AB$6=0,"",IF($AC$3=0,"",IF($G17="","",IF($G17="Warlord","n/a",IF($AB42&gt;=0.97,"Near Certainty",IF($AB42&gt;=0.9,"Very Probable",IF($AB42&gt;=0.75,"Likely",IF($AB42&gt;=0.6,"Good",IF($AB42&gt;=0.45,"Questionable",IF($AB42&gt;=0.3,"Unlikely",IF($AB42&gt;=0.15,"Slight","Almost Impossible"))))))))))))</f>
        <v/>
      </c>
      <c r="O30" s="451" t="str">
        <f>IF($G$10="","",IF($AB$6=0,"",IF($AC$3=0,"",IF($G17="","",IF($G17="Warlord","n/a",IF($AC42&gt;=0.97,"Near Certainty",IF($AC42&gt;=0.9,"Very Probable",IF($AC42&gt;=0.75,"Likely",IF($AC42&gt;=0.6,"Good",IF($AC42&gt;=0.45,"Questionable",IF($AC42&gt;=0.3,"Unlikely",IF($AC42&gt;=0.15,"Slight","Almost Impossible"))))))))))))</f>
        <v/>
      </c>
      <c r="P30" s="422"/>
      <c r="R30" s="473"/>
      <c r="S30" s="656"/>
      <c r="T30" s="657"/>
      <c r="U30" s="657"/>
      <c r="V30" s="658"/>
      <c r="W30" s="474"/>
      <c r="AA30" s="403"/>
      <c r="AB30" s="415"/>
      <c r="AC30" s="415"/>
      <c r="AD30" s="415"/>
      <c r="AF30" s="457" t="s">
        <v>807</v>
      </c>
      <c r="AG30" s="111">
        <v>60</v>
      </c>
      <c r="AH30" s="111">
        <v>80</v>
      </c>
      <c r="AI30" s="458" t="s">
        <v>804</v>
      </c>
      <c r="AJ30" s="462"/>
      <c r="AK30" s="462"/>
      <c r="AL30" s="462"/>
      <c r="AM30" s="462"/>
      <c r="AN30" s="463"/>
    </row>
    <row r="31" spans="2:43" ht="15.75" customHeight="1" thickBot="1" x14ac:dyDescent="0.3">
      <c r="B31" s="412"/>
      <c r="C31" s="456" t="s">
        <v>797</v>
      </c>
      <c r="D31" s="456"/>
      <c r="E31" s="456"/>
      <c r="F31" s="452" t="s">
        <v>637</v>
      </c>
      <c r="G31" s="634"/>
      <c r="H31" s="634"/>
      <c r="I31" s="496"/>
      <c r="J31" s="155"/>
      <c r="L31" s="440"/>
      <c r="M31" s="441"/>
      <c r="N31" s="441"/>
      <c r="O31" s="441"/>
      <c r="P31" s="442"/>
      <c r="R31" s="473"/>
      <c r="S31" s="659"/>
      <c r="T31" s="660"/>
      <c r="U31" s="660"/>
      <c r="V31" s="661"/>
      <c r="W31" s="474"/>
      <c r="AA31" s="411" t="s">
        <v>664</v>
      </c>
      <c r="AB31" s="461" t="s">
        <v>365</v>
      </c>
      <c r="AC31" s="461" t="s">
        <v>665</v>
      </c>
      <c r="AD31" s="415"/>
      <c r="AF31" s="457" t="s">
        <v>808</v>
      </c>
      <c r="AG31" s="111">
        <v>90</v>
      </c>
      <c r="AH31" s="111">
        <v>110</v>
      </c>
      <c r="AI31" s="458" t="s">
        <v>648</v>
      </c>
      <c r="AJ31" s="462"/>
      <c r="AK31" s="462"/>
      <c r="AL31" s="462"/>
      <c r="AM31" s="462"/>
      <c r="AN31" s="463"/>
    </row>
    <row r="32" spans="2:43" ht="15.75" customHeight="1" thickTop="1" x14ac:dyDescent="0.25">
      <c r="B32" s="412"/>
      <c r="C32" s="456"/>
      <c r="D32" s="414"/>
      <c r="E32" s="414"/>
      <c r="F32" s="452" t="s">
        <v>639</v>
      </c>
      <c r="G32" s="634"/>
      <c r="H32" s="634"/>
      <c r="I32" s="496"/>
      <c r="J32" s="155"/>
      <c r="L32" s="640" t="s">
        <v>813</v>
      </c>
      <c r="M32" s="641"/>
      <c r="N32" s="641"/>
      <c r="O32" s="641"/>
      <c r="P32" s="642"/>
      <c r="R32" s="473"/>
      <c r="S32" s="646" t="str">
        <f>IF($G$7="","Artifact Class","Artifact Class:  " &amp; $G$7)</f>
        <v>Artifact Class</v>
      </c>
      <c r="T32" s="646"/>
      <c r="U32" s="646"/>
      <c r="V32" s="646"/>
      <c r="W32" s="474"/>
      <c r="AA32" s="432" t="s">
        <v>599</v>
      </c>
      <c r="AB32" s="494" t="str">
        <f>IF($AC$23=0,"",IF($G15="","",IF($G$4="","",(VLOOKUP($G15,$AF$36:$AJ$45,3,FALSE))*(1/$AC$23)*($AB$26)*(0.75)*(VLOOKUP($G$4,$AF$2:$AL$25,7,FALSE)))))</f>
        <v/>
      </c>
      <c r="AC32" s="494" t="str">
        <f>IF($AC$23=0,"",IF($G15="","",IF($G$4="","",(VLOOKUP($G15,$AF$36:$AJ$45,3,FALSE))*(1/$AC$23)*($AB$26)*(1.25)*(VLOOKUP($G$4,$AF$2:$AL$25,7,FALSE)))))</f>
        <v/>
      </c>
      <c r="AD32" s="415"/>
      <c r="AF32" s="457" t="s">
        <v>809</v>
      </c>
      <c r="AG32" s="111">
        <v>110</v>
      </c>
      <c r="AH32" s="111">
        <v>130</v>
      </c>
      <c r="AI32" s="458" t="s">
        <v>768</v>
      </c>
      <c r="AJ32" s="462"/>
      <c r="AK32" s="462"/>
      <c r="AL32" s="462"/>
      <c r="AM32" s="462"/>
      <c r="AN32" s="463"/>
    </row>
    <row r="33" spans="2:39" ht="15.75" customHeight="1" x14ac:dyDescent="0.25">
      <c r="B33" s="412"/>
      <c r="C33" s="523" t="s">
        <v>798</v>
      </c>
      <c r="D33" s="414"/>
      <c r="E33" s="414"/>
      <c r="F33" s="452" t="s">
        <v>669</v>
      </c>
      <c r="G33" s="634"/>
      <c r="H33" s="634"/>
      <c r="I33" s="496"/>
      <c r="J33" s="155"/>
      <c r="L33" s="643"/>
      <c r="M33" s="644"/>
      <c r="N33" s="644"/>
      <c r="O33" s="644"/>
      <c r="P33" s="645"/>
      <c r="R33" s="473"/>
      <c r="S33" s="647" t="str">
        <f>IF($G$7="","",VLOOKUP($G$7,$AF$28:$AI$32,4,FALSE))</f>
        <v/>
      </c>
      <c r="T33" s="648"/>
      <c r="U33" s="648"/>
      <c r="V33" s="649"/>
      <c r="W33" s="474"/>
      <c r="AA33" s="432" t="s">
        <v>602</v>
      </c>
      <c r="AB33" s="494" t="str">
        <f>IF($AC$23=0,"",IF($G16="","",IF($G$4="","",(VLOOKUP($G16,$AF$36:$AJ$45,3,FALSE))*(1/$AC$23)*($AB$26)*(0.75)*(VLOOKUP($G$4,$AF$2:$AL$25,7,FALSE)))))</f>
        <v/>
      </c>
      <c r="AC33" s="494" t="str">
        <f>IF($AC$23=0,"",IF($G16="","",IF($G$4="","",(VLOOKUP($G16,$AF$36:$AJ$45,3,FALSE))*(1/$AC$23)*($AB$26)*(1.25)*(VLOOKUP($G$4,$AF$2:$AL$25,7,FALSE)))))</f>
        <v/>
      </c>
      <c r="AD33" s="415"/>
    </row>
    <row r="34" spans="2:39" ht="15.75" customHeight="1" x14ac:dyDescent="0.25">
      <c r="B34" s="412"/>
      <c r="C34" s="523" t="s">
        <v>799</v>
      </c>
      <c r="D34" s="414"/>
      <c r="E34" s="414"/>
      <c r="F34" s="452" t="s">
        <v>671</v>
      </c>
      <c r="G34" s="634"/>
      <c r="H34" s="634"/>
      <c r="I34" s="496"/>
      <c r="J34" s="155"/>
      <c r="L34" s="426"/>
      <c r="M34" s="447"/>
      <c r="N34" s="475" t="s">
        <v>668</v>
      </c>
      <c r="O34" s="475" t="s">
        <v>662</v>
      </c>
      <c r="P34" s="422"/>
      <c r="R34" s="473"/>
      <c r="S34" s="650"/>
      <c r="T34" s="651"/>
      <c r="U34" s="651"/>
      <c r="V34" s="652"/>
      <c r="W34" s="474"/>
      <c r="AA34" s="432" t="s">
        <v>605</v>
      </c>
      <c r="AB34" s="494" t="str">
        <f>IF($AC$23=0,"",IF($G17="","",IF($G$4="","",(VLOOKUP($G17,$AF$36:$AJ$45,3,FALSE))*(1/$AC$23)*($AB$26)*(0.75)*(VLOOKUP($G$4,$AF$2:$AL$25,7,FALSE)))))</f>
        <v/>
      </c>
      <c r="AC34" s="494" t="str">
        <f>IF($AC$23=0,"",IF($G17="","",IF($G$4="","",(VLOOKUP($G17,$AF$36:$AJ$45,3,FALSE))*(1/$AC$23)*($AB$26)*(1.25)*(VLOOKUP($G$4,$AF$2:$AL$25,7,FALSE)))))</f>
        <v/>
      </c>
      <c r="AD34" s="415"/>
      <c r="AF34" s="637" t="s">
        <v>656</v>
      </c>
      <c r="AG34" s="637" t="s">
        <v>657</v>
      </c>
      <c r="AH34" s="637" t="s">
        <v>658</v>
      </c>
      <c r="AI34" s="637" t="s">
        <v>659</v>
      </c>
      <c r="AJ34" s="637"/>
      <c r="AK34" s="637" t="s">
        <v>660</v>
      </c>
    </row>
    <row r="35" spans="2:39" ht="15.75" customHeight="1" x14ac:dyDescent="0.25">
      <c r="B35" s="412"/>
      <c r="C35" s="414"/>
      <c r="D35" s="414"/>
      <c r="E35" s="414"/>
      <c r="F35" s="452" t="s">
        <v>780</v>
      </c>
      <c r="G35" s="634"/>
      <c r="H35" s="634"/>
      <c r="I35" s="496"/>
      <c r="J35" s="155"/>
      <c r="L35" s="476"/>
      <c r="M35" s="635" t="s">
        <v>670</v>
      </c>
      <c r="N35" s="662" t="str">
        <f>IF($G$10="","",IF($AB$6=0,"",IF($AC$3=0,"",IF($AB45&gt;=0.97,"Near Certainty",IF($AB45&gt;=0.93,"Very Probable",IF($AB45&gt;=0.85,"Likely",IF($AB45&gt;=0.75,"Good",IF($AB45&gt;=0.65,"Questionable",IF($AB45&gt;=0.45,"Unlikely",IF($AB45&gt;=0.35,"Slight","Almost No Chance"))))))))))</f>
        <v/>
      </c>
      <c r="O35" s="662" t="str">
        <f>IF($G$10="","",IF($AB$6=0,"",IF($AC$3=0,"",IF($AC45&gt;=0.97,"Near Certainty",IF($AC45&gt;=0.9,"Very Probable",IF($AC45&gt;=0.85,"Likely",IF($AC45&gt;=0.75,"Good",IF($AC45&gt;=0.65,"Questionable",IF($AC45&gt;=0.45,"Unlikely",IF($AC45&gt;=0.35,"Slight","Almost No Chance"))))))))))</f>
        <v/>
      </c>
      <c r="P35" s="422"/>
      <c r="R35" s="473"/>
      <c r="S35" s="646" t="str">
        <f>IF($G$10="","Tactic",CONCATENATE($G$10,":  ",VLOOKUP($G$10,AF66:AK68,6,FALSE)))</f>
        <v>Tactic</v>
      </c>
      <c r="T35" s="646"/>
      <c r="U35" s="646"/>
      <c r="V35" s="646"/>
      <c r="W35" s="474"/>
      <c r="AA35" s="432" t="s">
        <v>608</v>
      </c>
      <c r="AB35" s="494" t="str">
        <f>IF($AC$23=0,"",IF($G22="","",IF($G$4="","",IF($H22="","",(VLOOKUP($G22,$AF$48:$AH$63,3,FALSE))*(VLOOKUP($H22,$AI$48:$AK$52,3,FALSE))*(1/$AC$23)*($AB$26)*(0.75)*(VLOOKUP($G$4,$AF$2:$AL$25,7,FALSE))))))</f>
        <v/>
      </c>
      <c r="AC35" s="494" t="str">
        <f>IF($AC$23=0,"",IF($G22="","",IF($G$4="","",IF($H22="","",(VLOOKUP($G22,$AF$48:$AH$63,3,FALSE))*(VLOOKUP($H22,$AI$48:$AK$52,3,FALSE))*(1/$AC$23)*($AB$26)*(1.25)*(VLOOKUP($G$4,$AF$2:$AL$25,7,FALSE))))))</f>
        <v/>
      </c>
      <c r="AD35" s="415"/>
      <c r="AF35" s="637"/>
      <c r="AG35" s="637"/>
      <c r="AH35" s="637"/>
      <c r="AI35" s="399" t="s">
        <v>661</v>
      </c>
      <c r="AJ35" s="399" t="s">
        <v>662</v>
      </c>
      <c r="AK35" s="637"/>
    </row>
    <row r="36" spans="2:39" ht="15.75" customHeight="1" x14ac:dyDescent="0.25">
      <c r="B36" s="412"/>
      <c r="C36" s="414"/>
      <c r="D36" s="414"/>
      <c r="E36" s="414"/>
      <c r="F36" s="452" t="s">
        <v>781</v>
      </c>
      <c r="G36" s="634"/>
      <c r="H36" s="634"/>
      <c r="I36" s="496"/>
      <c r="J36" s="155"/>
      <c r="L36" s="476"/>
      <c r="M36" s="635"/>
      <c r="N36" s="662"/>
      <c r="O36" s="662"/>
      <c r="P36" s="422"/>
      <c r="R36" s="473"/>
      <c r="S36" s="663" t="str">
        <f>IF($G$10="","",VLOOKUP($G$10,$AF$66:$AH$68,3,FALSE))</f>
        <v/>
      </c>
      <c r="T36" s="664"/>
      <c r="U36" s="664"/>
      <c r="V36" s="665"/>
      <c r="W36" s="474"/>
      <c r="AA36" s="432" t="s">
        <v>612</v>
      </c>
      <c r="AB36" s="494" t="str">
        <f>IF($AC$23=0,"",IF($G23="","",IF($G$4="","",IF($H23="","",(VLOOKUP($G23,$AF$48:$AH$63,3,FALSE))*(VLOOKUP($H23,$AI$48:$AK$52,3,FALSE))*(1/$AC$23)*($AB$26)*(0.75)*(VLOOKUP($G$4,$AF$2:$AL$25,7,FALSE))))))</f>
        <v/>
      </c>
      <c r="AC36" s="494" t="str">
        <f>IF($AC$23=0,"",IF($G23="","",IF($G$4="","",IF($H23="","",(VLOOKUP($G23,$AF$48:$AH$63,3,FALSE))*(VLOOKUP($H23,$AI$48:$AK$52,3,FALSE))*(1/$AC$23)*($AB$26)*(1.25)*(VLOOKUP($G$4,$AF$2:$AL$25,7,FALSE))))))</f>
        <v/>
      </c>
      <c r="AD36" s="415"/>
      <c r="AF36" s="470" t="s">
        <v>347</v>
      </c>
      <c r="AG36" s="471">
        <v>5</v>
      </c>
      <c r="AH36" s="524">
        <v>0.5</v>
      </c>
      <c r="AI36" s="524">
        <v>0.4</v>
      </c>
      <c r="AJ36" s="524">
        <f>AI36/2</f>
        <v>0.2</v>
      </c>
      <c r="AK36" s="406" t="str">
        <f>IF($G$15&lt;&gt;"","Yes",IF($G$16&lt;&gt;"","Yes",IF($G$17&lt;&gt;"","Yes","")))</f>
        <v/>
      </c>
    </row>
    <row r="37" spans="2:39" ht="15.75" customHeight="1" thickBot="1" x14ac:dyDescent="0.3">
      <c r="B37" s="477"/>
      <c r="C37" s="478"/>
      <c r="D37" s="478"/>
      <c r="E37" s="478"/>
      <c r="F37" s="478"/>
      <c r="G37" s="478"/>
      <c r="H37" s="478"/>
      <c r="I37" s="478"/>
      <c r="J37" s="160"/>
      <c r="L37" s="440"/>
      <c r="M37" s="441"/>
      <c r="N37" s="441"/>
      <c r="O37" s="441"/>
      <c r="P37" s="442"/>
      <c r="R37" s="479"/>
      <c r="S37" s="480"/>
      <c r="T37" s="480"/>
      <c r="U37" s="480"/>
      <c r="V37" s="480"/>
      <c r="W37" s="481"/>
      <c r="AA37" s="432" t="s">
        <v>617</v>
      </c>
      <c r="AB37" s="494" t="str">
        <f>IF($AC$23=0,"",IF($G24="","",IF($G$4="","",IF($H24="","",(VLOOKUP($G24,$AF$48:$AH$63,3,FALSE))*(VLOOKUP($H24,$AI$48:$AK$52,3,FALSE))*(1/$AC$23)*($AB$26)*(0.75)*(VLOOKUP($G$4,$AF$2:$AL$25,7,FALSE))))))</f>
        <v/>
      </c>
      <c r="AC37" s="494" t="str">
        <f>IF($AC$23=0,"",IF($G24="","",IF($G$4="","",IF($H24="","",(VLOOKUP($G24,$AF$48:$AH$63,3,FALSE))*(VLOOKUP($H24,$AI$48:$AK$52,3,FALSE))*(1/$AC$23)*($AB$26)*(1.25)*(VLOOKUP($G$4,$AF$2:$AL$25,7,FALSE))))))</f>
        <v/>
      </c>
      <c r="AD37" s="415"/>
      <c r="AF37" s="470" t="s">
        <v>23</v>
      </c>
      <c r="AG37" s="471">
        <v>6</v>
      </c>
      <c r="AH37" s="524">
        <v>0.45</v>
      </c>
      <c r="AI37" s="524">
        <v>0.35</v>
      </c>
      <c r="AJ37" s="524">
        <f t="shared" ref="AJ37:AJ45" si="5">AI37/2</f>
        <v>0.17499999999999999</v>
      </c>
    </row>
    <row r="38" spans="2:39" ht="15.75" customHeight="1" thickTop="1" x14ac:dyDescent="0.25">
      <c r="AA38" s="403"/>
      <c r="AB38" s="415"/>
      <c r="AC38" s="415"/>
      <c r="AD38" s="415"/>
      <c r="AF38" s="470" t="s">
        <v>344</v>
      </c>
      <c r="AG38" s="471">
        <v>7</v>
      </c>
      <c r="AH38" s="524">
        <v>0.4</v>
      </c>
      <c r="AI38" s="524">
        <v>0.3</v>
      </c>
      <c r="AJ38" s="524">
        <f t="shared" si="5"/>
        <v>0.15</v>
      </c>
    </row>
    <row r="39" spans="2:39" ht="15.75" customHeight="1" x14ac:dyDescent="0.25">
      <c r="AA39" s="411" t="s">
        <v>672</v>
      </c>
      <c r="AB39" s="461" t="s">
        <v>365</v>
      </c>
      <c r="AC39" s="461" t="s">
        <v>665</v>
      </c>
      <c r="AD39" s="415"/>
      <c r="AF39" s="470" t="s">
        <v>26</v>
      </c>
      <c r="AG39" s="471">
        <v>10</v>
      </c>
      <c r="AH39" s="524">
        <v>0.35</v>
      </c>
      <c r="AI39" s="524">
        <v>0.25</v>
      </c>
      <c r="AJ39" s="524">
        <f t="shared" si="5"/>
        <v>0.125</v>
      </c>
      <c r="AK39"/>
    </row>
    <row r="40" spans="2:39" ht="15.75" customHeight="1" x14ac:dyDescent="0.25">
      <c r="AA40" s="432" t="s">
        <v>599</v>
      </c>
      <c r="AB40" s="494" t="str">
        <f>IF($G15="","",(VLOOKUP($G15,$AF$36:$AJ$45,4,FALSE))+(VLOOKUP($G$4,$AF$2:$AL$25,6,FALSE)))</f>
        <v/>
      </c>
      <c r="AC40" s="494" t="str">
        <f>IF($G15="","",(VLOOKUP($G15,$AF$36:$AJ$45,5,FALSE))+(VLOOKUP($G$4,$AF$2:$AL$25,6,FALSE)))</f>
        <v/>
      </c>
      <c r="AD40" s="415"/>
      <c r="AF40" s="470" t="s">
        <v>341</v>
      </c>
      <c r="AG40" s="471">
        <v>11</v>
      </c>
      <c r="AH40" s="524">
        <v>0.3</v>
      </c>
      <c r="AI40" s="524">
        <v>0.2</v>
      </c>
      <c r="AJ40" s="524">
        <f t="shared" si="5"/>
        <v>0.1</v>
      </c>
    </row>
    <row r="41" spans="2:39" ht="15.75" customHeight="1" x14ac:dyDescent="0.25">
      <c r="AA41" s="432" t="s">
        <v>602</v>
      </c>
      <c r="AB41" s="494" t="str">
        <f>IF($G16="","",(VLOOKUP($G16,$AF$36:$AJ$45,4,FALSE))+(VLOOKUP($G$4,$AF$2:$AL$25,6,FALSE)))</f>
        <v/>
      </c>
      <c r="AC41" s="494" t="str">
        <f>IF($G16="","",(VLOOKUP($G16,$AF$36:$AJ$45,5,FALSE))+(VLOOKUP($G$4,$AF$2:$AL$25,6,FALSE)))</f>
        <v/>
      </c>
      <c r="AD41" s="415"/>
      <c r="AF41" s="470" t="s">
        <v>339</v>
      </c>
      <c r="AG41" s="471">
        <v>12</v>
      </c>
      <c r="AH41" s="524">
        <v>0.25</v>
      </c>
      <c r="AI41" s="524">
        <v>0.18</v>
      </c>
      <c r="AJ41" s="524">
        <f t="shared" si="5"/>
        <v>0.09</v>
      </c>
    </row>
    <row r="42" spans="2:39" ht="15.75" customHeight="1" x14ac:dyDescent="0.25">
      <c r="AA42" s="432" t="s">
        <v>605</v>
      </c>
      <c r="AB42" s="494" t="str">
        <f>IF($G17="","",(VLOOKUP($G17,$AF$36:$AJ$45,4,FALSE))+(VLOOKUP($G$4,$AF$2:$AL$25,6,FALSE)))</f>
        <v/>
      </c>
      <c r="AC42" s="494" t="str">
        <f>IF($G17="","",(VLOOKUP($G17,$AF$36:$AJ$45,5,FALSE))+(VLOOKUP($G$4,$AF$2:$AL$25,6,FALSE)))</f>
        <v/>
      </c>
      <c r="AD42" s="415"/>
      <c r="AF42" s="470" t="s">
        <v>2</v>
      </c>
      <c r="AG42" s="471">
        <v>15</v>
      </c>
      <c r="AH42" s="524">
        <v>0.2</v>
      </c>
      <c r="AI42" s="524">
        <v>0.15</v>
      </c>
      <c r="AJ42" s="524">
        <f t="shared" si="5"/>
        <v>7.4999999999999997E-2</v>
      </c>
    </row>
    <row r="43" spans="2:39" ht="15.75" customHeight="1" x14ac:dyDescent="0.25">
      <c r="AA43" s="403"/>
      <c r="AB43" s="415"/>
      <c r="AC43" s="415"/>
      <c r="AD43" s="415"/>
      <c r="AF43" s="470" t="s">
        <v>336</v>
      </c>
      <c r="AG43" s="471">
        <v>16</v>
      </c>
      <c r="AH43" s="524">
        <v>0.15</v>
      </c>
      <c r="AI43" s="524">
        <v>0.1</v>
      </c>
      <c r="AJ43" s="524">
        <f t="shared" si="5"/>
        <v>0.05</v>
      </c>
    </row>
    <row r="44" spans="2:39" ht="15.75" customHeight="1" x14ac:dyDescent="0.25">
      <c r="AA44" s="411" t="s">
        <v>682</v>
      </c>
      <c r="AB44" s="461" t="s">
        <v>365</v>
      </c>
      <c r="AC44" s="461" t="s">
        <v>665</v>
      </c>
      <c r="AD44" s="415"/>
      <c r="AF44" s="470" t="s">
        <v>334</v>
      </c>
      <c r="AG44" s="471">
        <v>17</v>
      </c>
      <c r="AH44" s="524">
        <v>0.12</v>
      </c>
      <c r="AI44" s="524">
        <v>0.05</v>
      </c>
      <c r="AJ44" s="524">
        <f t="shared" si="5"/>
        <v>2.5000000000000001E-2</v>
      </c>
    </row>
    <row r="45" spans="2:39" ht="15.75" customHeight="1" x14ac:dyDescent="0.25">
      <c r="AA45" s="432" t="s">
        <v>684</v>
      </c>
      <c r="AB45" s="494" t="str">
        <f>IF($G$4="","",((AK$62)*(VLOOKUP($G$4,$AF$2:$AM$25,8,FALSE))))</f>
        <v/>
      </c>
      <c r="AC45" s="494" t="str">
        <f>IF($G$4="","",((AL$62)*(VLOOKUP($G$4,$AF$2:$AM$25,8,FALSE))))</f>
        <v/>
      </c>
      <c r="AD45" s="415"/>
      <c r="AF45" s="470" t="s">
        <v>29</v>
      </c>
      <c r="AG45" s="471">
        <v>25</v>
      </c>
      <c r="AH45" s="524">
        <v>0.1</v>
      </c>
      <c r="AI45" s="524">
        <v>0</v>
      </c>
      <c r="AJ45" s="524">
        <f t="shared" si="5"/>
        <v>0</v>
      </c>
    </row>
    <row r="46" spans="2:39" ht="15.75" customHeight="1" x14ac:dyDescent="0.25">
      <c r="AA46" s="403"/>
      <c r="AB46" s="415"/>
      <c r="AC46" s="415"/>
      <c r="AD46" s="415"/>
    </row>
    <row r="47" spans="2:39" ht="15.75" customHeight="1" x14ac:dyDescent="0.25">
      <c r="AF47" s="399" t="s">
        <v>673</v>
      </c>
      <c r="AG47" s="399" t="s">
        <v>674</v>
      </c>
      <c r="AH47" s="399" t="s">
        <v>675</v>
      </c>
      <c r="AI47" s="399" t="s">
        <v>736</v>
      </c>
      <c r="AJ47" s="495" t="s">
        <v>801</v>
      </c>
      <c r="AK47" s="495" t="s">
        <v>802</v>
      </c>
      <c r="AL47" s="399" t="s">
        <v>676</v>
      </c>
      <c r="AM47" s="399" t="s">
        <v>677</v>
      </c>
    </row>
    <row r="48" spans="2:39" ht="15.75" customHeight="1" x14ac:dyDescent="0.25">
      <c r="AF48" s="457" t="s">
        <v>348</v>
      </c>
      <c r="AG48" s="407">
        <v>0</v>
      </c>
      <c r="AH48" s="472">
        <v>0.3</v>
      </c>
      <c r="AI48" s="525" t="str">
        <f>IF($G$22&lt;&gt;"","139-Investigate U.S.",IF($G$23&lt;&gt;"","139-Investigate U.S.",IF($G$24&lt;&gt;"","139-Investigate U.S.","")))</f>
        <v/>
      </c>
      <c r="AJ48" s="526">
        <v>1</v>
      </c>
      <c r="AK48" s="526">
        <v>1</v>
      </c>
      <c r="AL48" s="482" t="s">
        <v>795</v>
      </c>
      <c r="AM48" s="406">
        <v>10</v>
      </c>
    </row>
    <row r="49" spans="27:39" ht="15.75" customHeight="1" x14ac:dyDescent="0.25">
      <c r="AF49" s="457" t="s">
        <v>679</v>
      </c>
      <c r="AG49" s="405">
        <v>1</v>
      </c>
      <c r="AH49" s="472">
        <v>0.3</v>
      </c>
      <c r="AI49" s="525" t="str">
        <f>IF($G$22&lt;&gt;"","101-Guarded Attack",IF($G$23&lt;&gt;"","101-Guarded Attack",IF($G$24&lt;&gt;"","101-Guarded Attack","")))</f>
        <v/>
      </c>
      <c r="AJ49" s="526">
        <v>0.5</v>
      </c>
      <c r="AK49" s="526">
        <v>0</v>
      </c>
      <c r="AL49" s="482" t="s">
        <v>796</v>
      </c>
      <c r="AM49" s="406">
        <v>15</v>
      </c>
    </row>
    <row r="50" spans="27:39" ht="15.75" customHeight="1" x14ac:dyDescent="0.25">
      <c r="AF50" s="457" t="s">
        <v>681</v>
      </c>
      <c r="AG50" s="405">
        <v>2</v>
      </c>
      <c r="AH50" s="472">
        <v>0.2</v>
      </c>
      <c r="AI50" s="525" t="str">
        <f>IF($G$22&lt;&gt;"","132-Light Evening Star",IF($G$23&lt;&gt;"","132-Light Evening Star",IF($G$24&lt;&gt;"","132-Light Evening Star","")))</f>
        <v/>
      </c>
      <c r="AJ50" s="526">
        <v>1</v>
      </c>
      <c r="AK50" s="526">
        <v>1</v>
      </c>
      <c r="AL50" s="482" t="s">
        <v>800</v>
      </c>
      <c r="AM50" s="406">
        <v>25</v>
      </c>
    </row>
    <row r="51" spans="27:39" ht="15.75" customHeight="1" x14ac:dyDescent="0.25">
      <c r="AF51" s="457" t="s">
        <v>683</v>
      </c>
      <c r="AG51" s="405">
        <v>3</v>
      </c>
      <c r="AH51" s="472">
        <v>0.15</v>
      </c>
      <c r="AI51" s="525" t="str">
        <f>IF($G$22&lt;&gt;"","133-Bridge of Mist",IF($G$23&lt;&gt;"","133-Bridge of Mist",IF($G$24&lt;&gt;"","133-Bridge of Mist","")))</f>
        <v/>
      </c>
      <c r="AJ51" s="526">
        <v>1</v>
      </c>
      <c r="AK51" s="526">
        <v>1</v>
      </c>
      <c r="AL51" s="482" t="s">
        <v>793</v>
      </c>
      <c r="AM51" s="406">
        <v>12</v>
      </c>
    </row>
    <row r="52" spans="27:39" ht="15.75" customHeight="1" x14ac:dyDescent="0.25">
      <c r="AF52" s="457" t="s">
        <v>685</v>
      </c>
      <c r="AG52" s="405">
        <v>4</v>
      </c>
      <c r="AH52" s="472">
        <v>0.1</v>
      </c>
      <c r="AI52" s="525" t="str">
        <f>IF($G$22&lt;&gt;"","138-Mirror Image",IF($G$23&lt;&gt;"","138-Mirror Image",IF($G$24&lt;&gt;"","138-Mirror Image","")))</f>
        <v/>
      </c>
      <c r="AJ52" s="526">
        <v>1</v>
      </c>
      <c r="AK52" s="526">
        <v>0.33300000000000002</v>
      </c>
      <c r="AL52" s="482" t="s">
        <v>794</v>
      </c>
      <c r="AM52" s="406">
        <v>15</v>
      </c>
    </row>
    <row r="53" spans="27:39" ht="15.75" customHeight="1" x14ac:dyDescent="0.25">
      <c r="AF53" s="457" t="s">
        <v>686</v>
      </c>
      <c r="AG53" s="405">
        <v>5</v>
      </c>
      <c r="AH53" s="472">
        <v>0.05</v>
      </c>
      <c r="AI53" s="106"/>
      <c r="AL53" s="482" t="s">
        <v>678</v>
      </c>
      <c r="AM53" s="406">
        <v>20</v>
      </c>
    </row>
    <row r="54" spans="27:39" ht="15.75" customHeight="1" x14ac:dyDescent="0.25">
      <c r="AF54" s="457" t="s">
        <v>687</v>
      </c>
      <c r="AG54" s="405">
        <v>6</v>
      </c>
      <c r="AH54" s="472">
        <v>0.05</v>
      </c>
      <c r="AI54" s="106"/>
      <c r="AL54" s="482" t="s">
        <v>680</v>
      </c>
      <c r="AM54" s="406">
        <v>20</v>
      </c>
    </row>
    <row r="55" spans="27:39" ht="15.75" customHeight="1" x14ac:dyDescent="0.25">
      <c r="AA55" s="483"/>
      <c r="AF55" s="457" t="s">
        <v>690</v>
      </c>
      <c r="AG55" s="405">
        <v>7</v>
      </c>
      <c r="AH55" s="472">
        <v>0.05</v>
      </c>
      <c r="AI55" s="106"/>
    </row>
    <row r="56" spans="27:39" ht="15.75" customHeight="1" x14ac:dyDescent="0.25">
      <c r="AA56" s="483"/>
      <c r="AF56" s="457" t="s">
        <v>692</v>
      </c>
      <c r="AG56" s="405">
        <v>8</v>
      </c>
      <c r="AH56" s="472">
        <v>0.05</v>
      </c>
      <c r="AI56" s="106"/>
    </row>
    <row r="57" spans="27:39" ht="15.75" customHeight="1" x14ac:dyDescent="0.25">
      <c r="AA57" s="483"/>
      <c r="AF57" s="457" t="s">
        <v>693</v>
      </c>
      <c r="AG57" s="405">
        <v>9</v>
      </c>
      <c r="AH57" s="472">
        <v>0.05</v>
      </c>
      <c r="AI57" s="106"/>
    </row>
    <row r="58" spans="27:39" ht="15.75" customHeight="1" x14ac:dyDescent="0.25">
      <c r="AF58" s="457" t="s">
        <v>694</v>
      </c>
      <c r="AG58" s="405">
        <v>10</v>
      </c>
      <c r="AH58" s="472">
        <v>0.05</v>
      </c>
      <c r="AI58" s="106"/>
    </row>
    <row r="59" spans="27:39" ht="15.75" customHeight="1" x14ac:dyDescent="0.25">
      <c r="AF59" s="457" t="s">
        <v>695</v>
      </c>
      <c r="AG59" s="405">
        <v>11</v>
      </c>
      <c r="AH59" s="472">
        <v>0.05</v>
      </c>
      <c r="AI59" s="106"/>
    </row>
    <row r="60" spans="27:39" ht="15.75" customHeight="1" x14ac:dyDescent="0.25">
      <c r="AF60" s="457" t="s">
        <v>696</v>
      </c>
      <c r="AG60" s="405">
        <v>12</v>
      </c>
      <c r="AH60" s="472">
        <v>0.05</v>
      </c>
      <c r="AI60" s="106"/>
    </row>
    <row r="61" spans="27:39" ht="15.75" customHeight="1" x14ac:dyDescent="0.25">
      <c r="AF61" s="457" t="s">
        <v>697</v>
      </c>
      <c r="AG61" s="405">
        <v>13</v>
      </c>
      <c r="AH61" s="472">
        <v>0.05</v>
      </c>
      <c r="AI61" s="106"/>
      <c r="AJ61" s="399" t="s">
        <v>688</v>
      </c>
      <c r="AK61" s="399" t="s">
        <v>689</v>
      </c>
      <c r="AL61" s="399" t="s">
        <v>662</v>
      </c>
    </row>
    <row r="62" spans="27:39" ht="15.75" customHeight="1" x14ac:dyDescent="0.25">
      <c r="AF62" s="457" t="s">
        <v>698</v>
      </c>
      <c r="AG62" s="405">
        <v>14</v>
      </c>
      <c r="AH62" s="472">
        <v>0.05</v>
      </c>
      <c r="AI62" s="106"/>
      <c r="AJ62" s="484" t="s">
        <v>691</v>
      </c>
      <c r="AK62" s="472">
        <v>1</v>
      </c>
      <c r="AL62" s="472">
        <v>0</v>
      </c>
    </row>
    <row r="63" spans="27:39" ht="15.75" customHeight="1" x14ac:dyDescent="0.25">
      <c r="AF63" s="457" t="s">
        <v>699</v>
      </c>
      <c r="AG63" s="405">
        <v>15</v>
      </c>
      <c r="AH63" s="472">
        <v>0.05</v>
      </c>
    </row>
    <row r="64" spans="27:39" ht="15.75" customHeight="1" x14ac:dyDescent="0.25">
      <c r="AH64" s="43"/>
    </row>
    <row r="65" spans="32:39" ht="15.75" customHeight="1" x14ac:dyDescent="0.25">
      <c r="AF65" s="399" t="s">
        <v>700</v>
      </c>
      <c r="AG65" s="399" t="s">
        <v>701</v>
      </c>
      <c r="AH65" s="453" t="s">
        <v>702</v>
      </c>
      <c r="AI65" s="454"/>
      <c r="AJ65" s="455"/>
      <c r="AK65" s="453" t="s">
        <v>758</v>
      </c>
      <c r="AL65" s="455"/>
    </row>
    <row r="66" spans="32:39" ht="15.75" customHeight="1" x14ac:dyDescent="0.25">
      <c r="AF66" s="406" t="s">
        <v>703</v>
      </c>
      <c r="AG66" s="472">
        <v>0.75</v>
      </c>
      <c r="AH66" s="485" t="s">
        <v>762</v>
      </c>
      <c r="AI66" s="486"/>
      <c r="AJ66" s="487"/>
      <c r="AK66" s="458" t="s">
        <v>759</v>
      </c>
      <c r="AL66" s="460"/>
    </row>
    <row r="67" spans="32:39" ht="15.75" customHeight="1" x14ac:dyDescent="0.25">
      <c r="AF67" s="406" t="s">
        <v>704</v>
      </c>
      <c r="AG67" s="472">
        <v>1</v>
      </c>
      <c r="AH67" s="485" t="s">
        <v>763</v>
      </c>
      <c r="AI67" s="486"/>
      <c r="AJ67" s="487"/>
      <c r="AK67" s="458" t="s">
        <v>760</v>
      </c>
      <c r="AL67" s="460"/>
    </row>
    <row r="68" spans="32:39" ht="15.75" customHeight="1" x14ac:dyDescent="0.25">
      <c r="AF68" s="406" t="s">
        <v>705</v>
      </c>
      <c r="AG68" s="472">
        <v>1.25</v>
      </c>
      <c r="AH68" s="485" t="s">
        <v>764</v>
      </c>
      <c r="AI68" s="486"/>
      <c r="AJ68" s="487"/>
      <c r="AK68" s="458" t="s">
        <v>761</v>
      </c>
      <c r="AL68" s="460"/>
    </row>
    <row r="69" spans="32:39" ht="15.75" customHeight="1" x14ac:dyDescent="0.25"/>
    <row r="70" spans="32:39" ht="15.75" customHeight="1" x14ac:dyDescent="0.25">
      <c r="AF70" s="495" t="s">
        <v>738</v>
      </c>
      <c r="AG70" s="495" t="s">
        <v>784</v>
      </c>
      <c r="AH70" s="495" t="s">
        <v>786</v>
      </c>
      <c r="AI70" s="495" t="s">
        <v>787</v>
      </c>
      <c r="AJ70" s="495" t="s">
        <v>788</v>
      </c>
      <c r="AK70" s="495" t="s">
        <v>792</v>
      </c>
      <c r="AL70" s="495" t="s">
        <v>624</v>
      </c>
      <c r="AM70" s="495" t="s">
        <v>562</v>
      </c>
    </row>
    <row r="71" spans="32:39" ht="15.75" customHeight="1" x14ac:dyDescent="0.25">
      <c r="AF71" s="502" t="s">
        <v>742</v>
      </c>
      <c r="AG71" s="522" t="str">
        <f>IF($G$4="","",IF(VLOOKUP($G$4,'Kingdom Traits Matrix'!$D$4:$AK$27,3,FALSE)="●","Adventurer:",""))</f>
        <v/>
      </c>
      <c r="AH71" s="521" t="str">
        <f>IF($AG$71="",""," (improved odds for promotions, survivability, &amp; overall success)")</f>
        <v/>
      </c>
      <c r="AI71" s="407">
        <f>IF($AG71="",0,15)</f>
        <v>0</v>
      </c>
      <c r="AJ71" s="407">
        <f>IF($AG71="",0,0.1)</f>
        <v>0</v>
      </c>
      <c r="AK71" s="407">
        <f>IF($AG71="",0,-0.1)</f>
        <v>0</v>
      </c>
      <c r="AL71" s="407">
        <f>IF($AG71="",0,0)</f>
        <v>0</v>
      </c>
      <c r="AM71" s="557" t="s">
        <v>831</v>
      </c>
    </row>
    <row r="72" spans="32:39" ht="15.75" customHeight="1" x14ac:dyDescent="0.25">
      <c r="AF72" s="503" t="s">
        <v>739</v>
      </c>
      <c r="AG72" s="522" t="str">
        <f>IF($G$4="","",IF(VLOOKUP($G$4,'Kingdom Traits Matrix'!$D$4:$AK$27,13,FALSE)="●","Heroic:",""))</f>
        <v/>
      </c>
      <c r="AH72" s="521" t="str">
        <f>IF($AG$72="",""," (special promotion bonus)")</f>
        <v/>
      </c>
      <c r="AI72" s="407">
        <f>IF($AG72="",0,0)</f>
        <v>0</v>
      </c>
      <c r="AJ72" s="407">
        <f>IF($AG72="",0,IF($G$10="Tactic 1",0,1))</f>
        <v>0</v>
      </c>
      <c r="AK72" s="407">
        <f t="shared" ref="AK72:AL72" si="6">IF($AG72="",0,0)</f>
        <v>0</v>
      </c>
      <c r="AL72" s="407">
        <f t="shared" si="6"/>
        <v>0</v>
      </c>
      <c r="AM72" s="558" t="s">
        <v>791</v>
      </c>
    </row>
    <row r="73" spans="32:39" ht="15.75" customHeight="1" x14ac:dyDescent="0.25">
      <c r="AF73" s="503" t="s">
        <v>785</v>
      </c>
      <c r="AG73" s="522" t="str">
        <f>IF($G$4="","",IF(VLOOKUP($G$4,'Kingdom Traits Matrix'!$D$4:$AK$27,15,FALSE)="●","Military Tradition:",""))</f>
        <v/>
      </c>
      <c r="AH73" s="521" t="str">
        <f>IF($AG$73="",""," (improved odds for promotions, survivability, getting a new leader, &amp; overall success)")</f>
        <v/>
      </c>
      <c r="AI73" s="407">
        <f>IF($AG73="",0,3)</f>
        <v>0</v>
      </c>
      <c r="AJ73" s="407">
        <f>IF($AG73="",0,0.1)</f>
        <v>0</v>
      </c>
      <c r="AK73" s="407">
        <f>IF($AG73="",0,-0.1)</f>
        <v>0</v>
      </c>
      <c r="AL73" s="407">
        <f t="shared" ref="AL73" si="7">IF($AG73="",0,0.1)</f>
        <v>0</v>
      </c>
      <c r="AM73" s="558" t="s">
        <v>790</v>
      </c>
    </row>
    <row r="74" spans="32:39" ht="15.75" customHeight="1" x14ac:dyDescent="0.25">
      <c r="AF74" s="503" t="s">
        <v>740</v>
      </c>
      <c r="AG74" s="522" t="str">
        <f>IF($G$4="","",IF(VLOOKUP($G$4,'Kingdom Traits Matrix'!$D$4:$AK$27,25,FALSE)="●","Stalwart:",""))</f>
        <v/>
      </c>
      <c r="AH74" s="521" t="str">
        <f>IF($AG$74="",""," (improved odds for promotions &amp; getting a new leader)")</f>
        <v/>
      </c>
      <c r="AI74" s="407">
        <f>IF($AG74="",0,0)</f>
        <v>0</v>
      </c>
      <c r="AJ74" s="407">
        <f>IF($AG74="",0,0.15)</f>
        <v>0</v>
      </c>
      <c r="AK74" s="407">
        <f>IF($AG74="",0,0)</f>
        <v>0</v>
      </c>
      <c r="AL74" s="407">
        <f>IF($AG74="",0,0.15)</f>
        <v>0</v>
      </c>
      <c r="AM74" s="558" t="s">
        <v>789</v>
      </c>
    </row>
    <row r="75" spans="32:39" ht="15.75" customHeight="1" x14ac:dyDescent="0.25">
      <c r="AF75" s="504" t="s">
        <v>515</v>
      </c>
      <c r="AG75" s="554" t="str">
        <f>IF(AH75=4,"This kingdom does not have any Traits that will improve your odds when investigating Unusual Sightings.",CONCATENATE($AG$71,$AH$71,IF($AG$72="","",";  "),$AG$72,$AH$72,IF($AG$73="","",";  "),$AG$73,$AH$73,IF($AG$74="","",";  "),$AG$74,$AH$74))</f>
        <v>This kingdom does not have any Traits that will improve your odds when investigating Unusual Sightings.</v>
      </c>
      <c r="AH75" s="521">
        <f>COUNTBLANK(AG71:AG74)</f>
        <v>4</v>
      </c>
      <c r="AI75" s="555">
        <f>SUM(AI71:AI74)</f>
        <v>0</v>
      </c>
      <c r="AJ75" s="555">
        <f t="shared" ref="AJ75:AL75" si="8">SUM(AJ71:AJ74)</f>
        <v>0</v>
      </c>
      <c r="AK75" s="555">
        <f t="shared" si="8"/>
        <v>0</v>
      </c>
      <c r="AL75" s="555">
        <f t="shared" si="8"/>
        <v>0</v>
      </c>
      <c r="AM75" s="556" t="s">
        <v>744</v>
      </c>
    </row>
    <row r="76" spans="32:39" ht="15.75" customHeight="1" x14ac:dyDescent="0.25"/>
    <row r="77" spans="32:39" ht="15.75" customHeight="1" x14ac:dyDescent="0.25"/>
    <row r="78" spans="32:39" ht="15.75" customHeight="1" x14ac:dyDescent="0.25"/>
    <row r="79" spans="32:39" ht="15.75" customHeight="1" x14ac:dyDescent="0.25"/>
    <row r="80" spans="32:39" ht="15.75" customHeight="1" x14ac:dyDescent="0.25"/>
    <row r="81" spans="33:40" ht="15.75" customHeight="1" x14ac:dyDescent="0.25">
      <c r="AM81" s="483"/>
      <c r="AN81" s="483"/>
    </row>
    <row r="82" spans="33:40" ht="15.75" customHeight="1" x14ac:dyDescent="0.25">
      <c r="AM82" s="483"/>
      <c r="AN82" s="483"/>
    </row>
    <row r="83" spans="33:40" ht="15.75" customHeight="1" x14ac:dyDescent="0.25"/>
    <row r="84" spans="33:40" ht="15.75" customHeight="1" x14ac:dyDescent="0.25"/>
    <row r="85" spans="33:40" ht="15.75" customHeight="1" x14ac:dyDescent="0.25">
      <c r="AG85" s="43"/>
      <c r="AH85" s="43"/>
    </row>
    <row r="86" spans="33:40" ht="15.75" customHeight="1" x14ac:dyDescent="0.25">
      <c r="AG86" s="43"/>
      <c r="AH86" s="43"/>
    </row>
    <row r="87" spans="33:40" ht="15.75" customHeight="1" x14ac:dyDescent="0.25">
      <c r="AG87" s="43"/>
      <c r="AH87" s="43"/>
    </row>
    <row r="88" spans="33:40" ht="15.75" customHeight="1" x14ac:dyDescent="0.25">
      <c r="AG88" s="43"/>
      <c r="AH88" s="43"/>
    </row>
    <row r="89" spans="33:40" ht="15.75" customHeight="1" x14ac:dyDescent="0.25">
      <c r="AG89" s="43"/>
      <c r="AH89" s="43"/>
    </row>
    <row r="90" spans="33:40" ht="15.75" customHeight="1" x14ac:dyDescent="0.25">
      <c r="AG90" s="43"/>
      <c r="AH90" s="43"/>
    </row>
    <row r="91" spans="33:40" ht="15.75" customHeight="1" x14ac:dyDescent="0.25">
      <c r="AG91" s="43"/>
      <c r="AH91" s="43"/>
    </row>
    <row r="92" spans="33:40" ht="15.75" customHeight="1" x14ac:dyDescent="0.25">
      <c r="AG92" s="43"/>
      <c r="AH92" s="43"/>
    </row>
    <row r="93" spans="33:40" ht="15.75" customHeight="1" x14ac:dyDescent="0.25">
      <c r="AG93" s="43"/>
      <c r="AH93" s="43"/>
    </row>
    <row r="94" spans="33:40" ht="15.75" customHeight="1" x14ac:dyDescent="0.25">
      <c r="AG94" s="43"/>
      <c r="AH94" s="43"/>
    </row>
    <row r="95" spans="33:40" ht="15.75" customHeight="1" x14ac:dyDescent="0.25">
      <c r="AG95" s="43"/>
      <c r="AH95" s="43"/>
    </row>
    <row r="96" spans="33:40" ht="15.75" customHeight="1" x14ac:dyDescent="0.25">
      <c r="AG96" s="43"/>
      <c r="AH96" s="43"/>
    </row>
    <row r="97" spans="33:34" ht="15.75" customHeight="1" x14ac:dyDescent="0.25">
      <c r="AG97" s="43"/>
      <c r="AH97" s="43"/>
    </row>
    <row r="98" spans="33:34" ht="15.75" customHeight="1" x14ac:dyDescent="0.25">
      <c r="AG98" s="43"/>
      <c r="AH98" s="43"/>
    </row>
    <row r="99" spans="33:34" ht="15.75" customHeight="1" x14ac:dyDescent="0.25">
      <c r="AG99" s="43"/>
      <c r="AH99" s="43"/>
    </row>
    <row r="100" spans="33:34" x14ac:dyDescent="0.25">
      <c r="AG100" s="43"/>
      <c r="AH100" s="43"/>
    </row>
  </sheetData>
  <sheetProtection password="EB26" sheet="1" objects="1" scenarios="1" selectLockedCells="1"/>
  <mergeCells count="51">
    <mergeCell ref="C1:H1"/>
    <mergeCell ref="M1:O1"/>
    <mergeCell ref="S1:V1"/>
    <mergeCell ref="AA1:AD1"/>
    <mergeCell ref="L3:P4"/>
    <mergeCell ref="R3:W4"/>
    <mergeCell ref="M5:M7"/>
    <mergeCell ref="N5:N7"/>
    <mergeCell ref="O5:O7"/>
    <mergeCell ref="S7:S14"/>
    <mergeCell ref="M8:M9"/>
    <mergeCell ref="N8:N9"/>
    <mergeCell ref="O8:O9"/>
    <mergeCell ref="L11:P12"/>
    <mergeCell ref="N13:N15"/>
    <mergeCell ref="O13:O15"/>
    <mergeCell ref="S15:S24"/>
    <mergeCell ref="S35:V35"/>
    <mergeCell ref="G13:G14"/>
    <mergeCell ref="H13:H14"/>
    <mergeCell ref="G20:G21"/>
    <mergeCell ref="L23:P24"/>
    <mergeCell ref="H22:I22"/>
    <mergeCell ref="H20:I21"/>
    <mergeCell ref="S27:V27"/>
    <mergeCell ref="N25:N27"/>
    <mergeCell ref="O25:O27"/>
    <mergeCell ref="AK34:AK35"/>
    <mergeCell ref="G28:H29"/>
    <mergeCell ref="G30:H30"/>
    <mergeCell ref="L32:P33"/>
    <mergeCell ref="S32:V32"/>
    <mergeCell ref="G31:H31"/>
    <mergeCell ref="S33:V34"/>
    <mergeCell ref="AF34:AF35"/>
    <mergeCell ref="G32:H32"/>
    <mergeCell ref="AG34:AG35"/>
    <mergeCell ref="AH34:AH35"/>
    <mergeCell ref="AI34:AJ34"/>
    <mergeCell ref="S28:V31"/>
    <mergeCell ref="N35:N36"/>
    <mergeCell ref="O35:O36"/>
    <mergeCell ref="S36:V36"/>
    <mergeCell ref="C23:E25"/>
    <mergeCell ref="G35:H35"/>
    <mergeCell ref="G36:H36"/>
    <mergeCell ref="G33:H33"/>
    <mergeCell ref="M35:M36"/>
    <mergeCell ref="H23:I23"/>
    <mergeCell ref="H24:I24"/>
    <mergeCell ref="G34:H34"/>
  </mergeCells>
  <conditionalFormatting sqref="M16:M21 M28:M30">
    <cfRule type="endsWith" dxfId="152" priority="40" operator="endsWith" text="()">
      <formula>RIGHT(M16,LEN("()"))="()"</formula>
    </cfRule>
  </conditionalFormatting>
  <conditionalFormatting sqref="H15">
    <cfRule type="expression" dxfId="151" priority="39">
      <formula>$G$15=""</formula>
    </cfRule>
  </conditionalFormatting>
  <conditionalFormatting sqref="H16">
    <cfRule type="expression" dxfId="150" priority="38">
      <formula>$G$16=""</formula>
    </cfRule>
  </conditionalFormatting>
  <conditionalFormatting sqref="H17">
    <cfRule type="expression" dxfId="149" priority="37">
      <formula>$G$17=""</formula>
    </cfRule>
  </conditionalFormatting>
  <conditionalFormatting sqref="H22">
    <cfRule type="expression" dxfId="148" priority="35" stopIfTrue="1">
      <formula>$G$22=""</formula>
    </cfRule>
  </conditionalFormatting>
  <conditionalFormatting sqref="H23">
    <cfRule type="expression" dxfId="147" priority="34" stopIfTrue="1">
      <formula>$G$23=""</formula>
    </cfRule>
  </conditionalFormatting>
  <conditionalFormatting sqref="H24">
    <cfRule type="expression" dxfId="146" priority="2" stopIfTrue="1">
      <formula>$G$24=""</formula>
    </cfRule>
  </conditionalFormatting>
  <conditionalFormatting sqref="M8:O9">
    <cfRule type="cellIs" dxfId="145" priority="26" operator="equal">
      <formula>"Near Certainty"</formula>
    </cfRule>
    <cfRule type="cellIs" dxfId="144" priority="27" operator="equal">
      <formula>"Promising"</formula>
    </cfRule>
    <cfRule type="cellIs" dxfId="143" priority="28" operator="equal">
      <formula>"Good"</formula>
    </cfRule>
    <cfRule type="cellIs" dxfId="142" priority="29" operator="equal">
      <formula>"Decent"</formula>
    </cfRule>
    <cfRule type="cellIs" dxfId="141" priority="30" operator="equal">
      <formula>"Iffy"</formula>
    </cfRule>
    <cfRule type="cellIs" dxfId="140" priority="31" operator="equal">
      <formula>"Unlikely"</formula>
    </cfRule>
    <cfRule type="cellIs" dxfId="139" priority="32" operator="equal">
      <formula>"Slight"</formula>
    </cfRule>
    <cfRule type="cellIs" dxfId="138" priority="33" operator="equal">
      <formula>"Suicide Mission"</formula>
    </cfRule>
  </conditionalFormatting>
  <conditionalFormatting sqref="G4 G7 G10">
    <cfRule type="containsBlanks" dxfId="137" priority="41">
      <formula>LEN(TRIM(G4))=0</formula>
    </cfRule>
  </conditionalFormatting>
  <conditionalFormatting sqref="N16:O21">
    <cfRule type="cellIs" dxfId="136" priority="18" operator="equal">
      <formula>"Suicide Mission"</formula>
    </cfRule>
    <cfRule type="cellIs" dxfId="135" priority="19" operator="equal">
      <formula>"Survival Doubtful"</formula>
    </cfRule>
    <cfRule type="cellIs" dxfId="134" priority="20" operator="equal">
      <formula>"Will Need Some Luck"</formula>
    </cfRule>
    <cfRule type="cellIs" dxfId="133" priority="21" operator="equal">
      <formula>"Dangerous"</formula>
    </cfRule>
    <cfRule type="cellIs" dxfId="132" priority="22" operator="equal">
      <formula>"Risky"</formula>
    </cfRule>
    <cfRule type="cellIs" dxfId="131" priority="23" operator="equal">
      <formula>"At Some Risk"</formula>
    </cfRule>
    <cfRule type="cellIs" dxfId="130" priority="24" operator="equal">
      <formula>"Unlikely"</formula>
    </cfRule>
    <cfRule type="cellIs" dxfId="129" priority="25" operator="equal">
      <formula>"Near Invulnerable"</formula>
    </cfRule>
  </conditionalFormatting>
  <conditionalFormatting sqref="N35:O36 N28:O30">
    <cfRule type="cellIs" dxfId="128" priority="9" operator="equal">
      <formula>"Near Certainty"</formula>
    </cfRule>
    <cfRule type="cellIs" dxfId="127" priority="10" operator="equal">
      <formula>"Very Probable"</formula>
    </cfRule>
    <cfRule type="cellIs" dxfId="126" priority="11" operator="equal">
      <formula>"Likely"</formula>
    </cfRule>
    <cfRule type="cellIs" dxfId="125" priority="12" operator="equal">
      <formula>"Good"</formula>
    </cfRule>
    <cfRule type="cellIs" dxfId="124" priority="13" operator="equal">
      <formula>"Questionable"</formula>
    </cfRule>
    <cfRule type="cellIs" dxfId="123" priority="14" operator="equal">
      <formula>"Unlikely"</formula>
    </cfRule>
    <cfRule type="cellIs" dxfId="122" priority="15" operator="equal">
      <formula>"Slight"</formula>
    </cfRule>
    <cfRule type="cellIs" dxfId="121" priority="16" operator="equal">
      <formula>"Almost No Chance"</formula>
    </cfRule>
    <cfRule type="cellIs" dxfId="120" priority="17" operator="equal">
      <formula>"Almost Impossible"</formula>
    </cfRule>
  </conditionalFormatting>
  <conditionalFormatting sqref="M35:M36">
    <cfRule type="expression" dxfId="119" priority="8">
      <formula>$N$35&lt;&gt;""</formula>
    </cfRule>
  </conditionalFormatting>
  <conditionalFormatting sqref="S28:V31">
    <cfRule type="containsText" dxfId="118" priority="7" stopIfTrue="1" operator="containsText" text="This kingdom does not have any traits">
      <formula>NOT(ISERROR(SEARCH("This kingdom does not have any traits",S28)))</formula>
    </cfRule>
  </conditionalFormatting>
  <conditionalFormatting sqref="S33:V34">
    <cfRule type="containsText" dxfId="117" priority="5" stopIfTrue="1" operator="containsText" text="Quest">
      <formula>NOT(ISERROR(SEARCH("Quest",S33)))</formula>
    </cfRule>
    <cfRule type="containsText" dxfId="116" priority="6" stopIfTrue="1" operator="containsText" text="Superior">
      <formula>NOT(ISERROR(SEARCH("Superior",S33)))</formula>
    </cfRule>
  </conditionalFormatting>
  <conditionalFormatting sqref="S36:V36">
    <cfRule type="containsText" dxfId="115" priority="4" stopIfTrue="1" operator="containsText" text="Greater chance of success">
      <formula>NOT(ISERROR(SEARCH("Greater chance of success",S36)))</formula>
    </cfRule>
  </conditionalFormatting>
  <conditionalFormatting sqref="G25">
    <cfRule type="expression" dxfId="114" priority="3">
      <formula>(VLOOKUP($G$4,$AF$2:$AQ$25,3,FALSE))&lt;10</formula>
    </cfRule>
  </conditionalFormatting>
  <conditionalFormatting sqref="H22:I24">
    <cfRule type="containsBlanks" dxfId="113" priority="36" stopIfTrue="1">
      <formula>LEN(TRIM(H22))=0</formula>
    </cfRule>
  </conditionalFormatting>
  <conditionalFormatting sqref="E26">
    <cfRule type="containsText" dxfId="112" priority="1" operator="containsText" text="Spell #13">
      <formula>NOT(ISERROR(SEARCH("Spell #13",E26)))</formula>
    </cfRule>
  </conditionalFormatting>
  <dataValidations count="8">
    <dataValidation type="list" showErrorMessage="1" errorTitle="Invalid selection" error="Please enter or select a wizard power._x000a__x000a_* Drop-down Menu *" sqref="G22:G24">
      <formula1>$AF$48:$AF$63</formula1>
    </dataValidation>
    <dataValidation type="list" allowBlank="1" showErrorMessage="1" errorTitle="Invalid Selection" error="Please enter or select a tactic._x000a__x000a_* Drop-down Menu *" sqref="G10">
      <formula1>$AF$66:$AF$68</formula1>
    </dataValidation>
    <dataValidation type="list" allowBlank="1" showInputMessage="1" showErrorMessage="1" errorTitle="Invalid Selection" error="Please enter or select &quot;Yes&quot; to indicate if that leader has Magical Armor. Else, leave blank._x000a__x000a_* Drop-down Menu *" sqref="H15:H17">
      <formula1>$AK$36:$AK$36</formula1>
    </dataValidation>
    <dataValidation type="list" allowBlank="1" showInputMessage="1" showErrorMessage="1" errorTitle="Invalid Selection" error="Please enter or select the Artifact Class._x000a__x000a_* Drop-down Menu *" sqref="G7">
      <formula1>$AF$28:$AF$32</formula1>
    </dataValidation>
    <dataValidation type="list" showErrorMessage="1" errorTitle="Invalid selection" error="Please enter or select a leader._x000a__x000a_* Drop-down Menu *" sqref="G15:G17">
      <formula1>$AF$36:$AF$45</formula1>
    </dataValidation>
    <dataValidation type="list" allowBlank="1" showInputMessage="1" showErrorMessage="1" errorTitle="Invalid Selection" error="Please select the wizard's action._x000a__x000a_* Drop-down Menu *" sqref="H22:H24">
      <formula1>$AI$48:$AI$52</formula1>
    </dataValidation>
    <dataValidation type="list" allowBlank="1" showErrorMessage="1" errorTitle="Invalid Selection" error="Please enter or select a kingdom._x000a__x000a_* Drop-down Menu *" sqref="G4">
      <formula1>$AF$2:$AF$25</formula1>
    </dataValidation>
    <dataValidation type="list" showErrorMessage="1" errorTitle="Invalid selection" error="Please enter or select a weapon artifact._x000a__x000a_* Drop-down Menu *" sqref="G30:H36">
      <formula1>$AL$48:$AL$54</formula1>
    </dataValidation>
  </dataValidations>
  <printOptions horizontalCentered="1"/>
  <pageMargins left="0.2" right="0.2" top="0.5" bottom="0.5" header="0.3" footer="0.3"/>
  <pageSetup scale="53" orientation="landscape" r:id="rId1"/>
  <headerFooter>
    <oddFooter>&amp;Lwww.Alamaze.co&amp;RPrepared by: Frost Lord</oddFooter>
  </headerFooter>
  <colBreaks count="1" manualBreakCount="1">
    <brk id="24" max="1048575" man="1"/>
  </colBreaks>
  <pictur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pageSetUpPr fitToPage="1"/>
  </sheetPr>
  <dimension ref="B1:W116"/>
  <sheetViews>
    <sheetView showGridLines="0" showRowColHeaders="0" zoomScale="90" zoomScaleNormal="90" workbookViewId="0">
      <selection activeCell="J4" sqref="J4"/>
    </sheetView>
  </sheetViews>
  <sheetFormatPr defaultColWidth="9.140625" defaultRowHeight="15" x14ac:dyDescent="0.25"/>
  <cols>
    <col min="1" max="1" width="3.7109375" style="208" customWidth="1"/>
    <col min="2" max="2" width="6.7109375" style="208" customWidth="1"/>
    <col min="3" max="10" width="12.7109375" style="208" customWidth="1"/>
    <col min="11" max="11" width="6.7109375" style="208" customWidth="1"/>
    <col min="12" max="12" width="3.7109375" style="208" customWidth="1"/>
    <col min="13" max="13" width="4.7109375" style="208" hidden="1" customWidth="1"/>
    <col min="14" max="19" width="15.7109375" style="209" hidden="1" customWidth="1"/>
    <col min="20" max="20" width="15.7109375" style="242" hidden="1" customWidth="1"/>
    <col min="21" max="21" width="15.7109375" style="208" hidden="1" customWidth="1"/>
    <col min="22" max="22" width="9.140625" style="278" hidden="1" customWidth="1"/>
    <col min="23" max="23" width="9.140625" style="208" hidden="1" customWidth="1"/>
    <col min="24" max="16384" width="9.140625" style="208"/>
  </cols>
  <sheetData>
    <row r="1" spans="2:23" ht="27" thickBot="1" x14ac:dyDescent="0.45">
      <c r="B1" s="684" t="s">
        <v>491</v>
      </c>
      <c r="C1" s="684"/>
      <c r="D1" s="684"/>
      <c r="E1" s="684"/>
      <c r="F1" s="684"/>
      <c r="G1" s="684"/>
      <c r="H1" s="684"/>
      <c r="I1" s="684"/>
      <c r="J1" s="684"/>
      <c r="K1" s="684"/>
      <c r="M1" s="326"/>
      <c r="N1" s="327"/>
      <c r="O1" s="327"/>
      <c r="P1" s="327"/>
      <c r="Q1" s="327"/>
      <c r="R1" s="328" t="s">
        <v>10</v>
      </c>
      <c r="S1" s="327"/>
      <c r="T1" s="329"/>
      <c r="U1" s="326"/>
      <c r="V1" s="328"/>
      <c r="W1" s="326"/>
    </row>
    <row r="2" spans="2:23" ht="19.5" thickTop="1" x14ac:dyDescent="0.3">
      <c r="B2" s="218"/>
      <c r="C2" s="219"/>
      <c r="D2" s="219"/>
      <c r="E2" s="685" t="s">
        <v>492</v>
      </c>
      <c r="F2" s="685"/>
      <c r="G2" s="685"/>
      <c r="H2" s="685"/>
      <c r="I2" s="219"/>
      <c r="J2" s="219"/>
      <c r="K2" s="24"/>
      <c r="M2" s="326"/>
      <c r="N2" s="275" t="s">
        <v>537</v>
      </c>
      <c r="O2" s="275" t="s">
        <v>538</v>
      </c>
      <c r="P2" s="275" t="s">
        <v>539</v>
      </c>
      <c r="Q2" s="275" t="s">
        <v>237</v>
      </c>
      <c r="R2" s="257"/>
      <c r="S2" s="257"/>
      <c r="T2" s="258"/>
      <c r="U2" s="256"/>
      <c r="V2" s="277"/>
      <c r="W2" s="326"/>
    </row>
    <row r="3" spans="2:23" ht="7.5" customHeight="1" thickBot="1" x14ac:dyDescent="0.3">
      <c r="B3" s="212"/>
      <c r="C3" s="220"/>
      <c r="D3" s="220"/>
      <c r="E3" s="214"/>
      <c r="F3" s="214"/>
      <c r="G3" s="214"/>
      <c r="H3" s="214"/>
      <c r="I3" s="214"/>
      <c r="J3" s="214"/>
      <c r="K3" s="213"/>
      <c r="M3" s="326"/>
      <c r="N3" s="357" t="str">
        <f>IF(N4="","",1)</f>
        <v/>
      </c>
      <c r="O3" s="357" t="str">
        <f t="shared" ref="O3:P3" si="0">IF(O4="","",1)</f>
        <v/>
      </c>
      <c r="P3" s="357" t="str">
        <f t="shared" si="0"/>
        <v/>
      </c>
      <c r="Q3" s="357">
        <f>SUM(N3:P3)</f>
        <v>0</v>
      </c>
      <c r="R3" s="257"/>
      <c r="S3" s="257"/>
      <c r="T3" s="258"/>
      <c r="U3" s="256"/>
      <c r="V3" s="277"/>
      <c r="W3" s="326"/>
    </row>
    <row r="4" spans="2:23" ht="15.75" thickBot="1" x14ac:dyDescent="0.3">
      <c r="B4" s="221" t="str">
        <f>IF(J4="","*** ","")</f>
        <v xml:space="preserve">*** </v>
      </c>
      <c r="C4" s="589" t="s">
        <v>832</v>
      </c>
      <c r="D4" s="222"/>
      <c r="E4" s="222"/>
      <c r="F4" s="223"/>
      <c r="G4" s="222"/>
      <c r="H4" s="222"/>
      <c r="I4" s="276" t="str">
        <f>IF($J$4="","",IF(Q4="",VLOOKUP($J$4,$N$92:$O$115,2,FALSE),IF(Q3&gt;1,CONCATENATE(VLOOKUP($J$4,$N$92:$O$115,2,FALSE)," [ Traits: ",Q4," ]"),CONCATENATE(VLOOKUP($J$4,$N$92:$O$115,2,FALSE)," [ Trait: ",Q4," ]"))))</f>
        <v/>
      </c>
      <c r="J4" s="20"/>
      <c r="K4" s="213"/>
      <c r="M4" s="326"/>
      <c r="N4" s="357" t="str">
        <f>IF($J$4="","",IF(VLOOKUP($J$4,'Kingdom Traits Matrix'!$D$4:$AK$27,2,FALSE)="●","Acuity",""))</f>
        <v/>
      </c>
      <c r="O4" s="357" t="str">
        <f>IF($J$4="","",IF(VLOOKUP($J$4,'Kingdom Traits Matrix'!$D$4:$AK$27,6,FALSE)="●","Cunning",""))</f>
        <v/>
      </c>
      <c r="P4" s="357" t="str">
        <f>IF($J$4="","",IF(VLOOKUP($J$4,'Kingdom Traits Matrix'!$D$4:$AK$27,16,FALSE)="●","Oratory",""))</f>
        <v/>
      </c>
      <c r="Q4" s="357" t="str">
        <f>IF(Q3=0,"",CONCATENATE(IF(N4="","",IF(O4="",N4,CONCATENATE(N4,"/"))),IF(O4="","",IF(P4="",O4,CONCATENATE(O4,"/"))),IF(P4="","",IF(N4="",P4,CONCATENATE("/",P4)))))</f>
        <v/>
      </c>
      <c r="R4" s="257"/>
      <c r="S4" s="257"/>
      <c r="T4" s="258"/>
      <c r="U4" s="256"/>
      <c r="V4" s="277"/>
      <c r="W4" s="326"/>
    </row>
    <row r="5" spans="2:23" ht="7.5" customHeight="1" thickBot="1" x14ac:dyDescent="0.3">
      <c r="B5" s="212"/>
      <c r="C5" s="324"/>
      <c r="D5" s="214"/>
      <c r="E5" s="214"/>
      <c r="F5" s="214"/>
      <c r="G5" s="214"/>
      <c r="H5" s="214"/>
      <c r="I5" s="214"/>
      <c r="J5" s="225"/>
      <c r="K5" s="213"/>
      <c r="M5" s="326"/>
      <c r="N5" s="257"/>
      <c r="O5" s="257"/>
      <c r="P5" s="257"/>
      <c r="Q5" s="257"/>
      <c r="R5" s="257"/>
      <c r="S5" s="257"/>
      <c r="T5" s="258"/>
      <c r="U5" s="256"/>
      <c r="V5" s="277"/>
      <c r="W5" s="326"/>
    </row>
    <row r="6" spans="2:23" ht="15.75" thickBot="1" x14ac:dyDescent="0.3">
      <c r="B6" s="221" t="str">
        <f>IF(J6="","*** ","")</f>
        <v xml:space="preserve">*** </v>
      </c>
      <c r="C6" s="589" t="s">
        <v>493</v>
      </c>
      <c r="D6" s="222"/>
      <c r="E6" s="222"/>
      <c r="F6" s="222"/>
      <c r="G6" s="222"/>
      <c r="H6" s="222"/>
      <c r="I6" s="222"/>
      <c r="J6" s="20"/>
      <c r="K6" s="213"/>
      <c r="M6" s="326"/>
      <c r="N6" s="257"/>
      <c r="O6" s="257"/>
      <c r="P6" s="257"/>
      <c r="Q6" s="257"/>
      <c r="R6" s="257"/>
      <c r="S6" s="257"/>
      <c r="T6" s="258"/>
      <c r="U6" s="256"/>
      <c r="V6" s="277"/>
      <c r="W6" s="326"/>
    </row>
    <row r="7" spans="2:23" ht="7.5" customHeight="1" thickBot="1" x14ac:dyDescent="0.3">
      <c r="B7" s="212"/>
      <c r="C7" s="324"/>
      <c r="D7" s="214"/>
      <c r="E7" s="214"/>
      <c r="F7" s="214"/>
      <c r="G7" s="214"/>
      <c r="H7" s="214"/>
      <c r="I7" s="214"/>
      <c r="J7" s="225"/>
      <c r="K7" s="213"/>
      <c r="M7" s="326"/>
      <c r="N7" s="257"/>
      <c r="O7" s="257"/>
      <c r="P7" s="257"/>
      <c r="Q7" s="257"/>
      <c r="R7" s="257"/>
      <c r="S7" s="257"/>
      <c r="T7" s="258"/>
      <c r="U7" s="256"/>
      <c r="V7" s="277"/>
      <c r="W7" s="326"/>
    </row>
    <row r="8" spans="2:23" ht="15.75" thickBot="1" x14ac:dyDescent="0.3">
      <c r="B8" s="221" t="str">
        <f>IF(J8="","*** ","")</f>
        <v xml:space="preserve">*** </v>
      </c>
      <c r="C8" s="589" t="s">
        <v>494</v>
      </c>
      <c r="D8" s="222"/>
      <c r="E8" s="222"/>
      <c r="F8" s="222"/>
      <c r="G8" s="222"/>
      <c r="H8" s="222"/>
      <c r="I8" s="222"/>
      <c r="J8" s="226"/>
      <c r="K8" s="213"/>
      <c r="M8" s="326"/>
      <c r="N8" s="257"/>
      <c r="O8" s="257"/>
      <c r="P8" s="257"/>
      <c r="Q8" s="257"/>
      <c r="R8" s="257"/>
      <c r="S8" s="257"/>
      <c r="T8" s="258"/>
      <c r="U8" s="256"/>
      <c r="V8" s="277"/>
      <c r="W8" s="326"/>
    </row>
    <row r="9" spans="2:23" ht="7.5" customHeight="1" thickBot="1" x14ac:dyDescent="0.3">
      <c r="B9" s="212"/>
      <c r="C9" s="324"/>
      <c r="D9" s="214"/>
      <c r="E9" s="214"/>
      <c r="F9" s="214"/>
      <c r="G9" s="214"/>
      <c r="H9" s="214"/>
      <c r="I9" s="214"/>
      <c r="J9" s="225"/>
      <c r="K9" s="213"/>
      <c r="M9" s="326"/>
      <c r="N9" s="257"/>
      <c r="O9" s="257"/>
      <c r="P9" s="257"/>
      <c r="Q9" s="257"/>
      <c r="R9" s="257"/>
      <c r="S9" s="257"/>
      <c r="T9" s="258"/>
      <c r="U9" s="256"/>
      <c r="V9" s="277"/>
      <c r="W9" s="326"/>
    </row>
    <row r="10" spans="2:23" ht="15.75" thickBot="1" x14ac:dyDescent="0.3">
      <c r="B10" s="221" t="str">
        <f>IF(J10="","*** ","")</f>
        <v xml:space="preserve">*** </v>
      </c>
      <c r="C10" s="589" t="s">
        <v>3</v>
      </c>
      <c r="D10" s="222"/>
      <c r="E10" s="222"/>
      <c r="F10" s="222"/>
      <c r="G10" s="222"/>
      <c r="H10" s="222"/>
      <c r="I10" s="222"/>
      <c r="J10" s="20"/>
      <c r="K10" s="213"/>
      <c r="M10" s="326"/>
      <c r="N10" s="257"/>
      <c r="O10" s="257"/>
      <c r="P10" s="257"/>
      <c r="Q10" s="257"/>
      <c r="R10" s="257"/>
      <c r="S10" s="257"/>
      <c r="T10" s="258"/>
      <c r="U10" s="256"/>
      <c r="V10" s="277"/>
      <c r="W10" s="326"/>
    </row>
    <row r="11" spans="2:23" ht="7.5" customHeight="1" thickBot="1" x14ac:dyDescent="0.3">
      <c r="B11" s="215"/>
      <c r="C11" s="227"/>
      <c r="D11" s="228"/>
      <c r="E11" s="216"/>
      <c r="F11" s="216"/>
      <c r="G11" s="216"/>
      <c r="H11" s="216"/>
      <c r="I11" s="216"/>
      <c r="J11" s="229"/>
      <c r="K11" s="217"/>
      <c r="M11" s="326"/>
      <c r="N11" s="257"/>
      <c r="O11" s="257"/>
      <c r="P11" s="257"/>
      <c r="Q11" s="257"/>
      <c r="R11" s="257"/>
      <c r="S11" s="257"/>
      <c r="T11" s="258"/>
      <c r="U11" s="256"/>
      <c r="V11" s="277"/>
      <c r="W11" s="326"/>
    </row>
    <row r="12" spans="2:23" ht="5.0999999999999996" customHeight="1" thickTop="1" thickBot="1" x14ac:dyDescent="0.3">
      <c r="C12" s="230"/>
      <c r="D12" s="231"/>
      <c r="J12" s="232"/>
      <c r="M12" s="326"/>
      <c r="N12" s="257"/>
      <c r="O12" s="257"/>
      <c r="P12" s="257"/>
      <c r="Q12" s="257"/>
      <c r="R12" s="257"/>
      <c r="S12" s="257"/>
      <c r="T12" s="258"/>
      <c r="U12" s="256"/>
      <c r="V12" s="277"/>
      <c r="W12" s="326"/>
    </row>
    <row r="13" spans="2:23" ht="19.5" thickTop="1" x14ac:dyDescent="0.3">
      <c r="B13" s="218"/>
      <c r="C13" s="233"/>
      <c r="D13" s="234"/>
      <c r="E13" s="685" t="s">
        <v>495</v>
      </c>
      <c r="F13" s="685"/>
      <c r="G13" s="685"/>
      <c r="H13" s="685"/>
      <c r="I13" s="219"/>
      <c r="J13" s="235"/>
      <c r="K13" s="236"/>
      <c r="M13" s="326"/>
      <c r="N13" s="257"/>
      <c r="O13" s="257"/>
      <c r="P13" s="257"/>
      <c r="Q13" s="257"/>
      <c r="R13" s="257"/>
      <c r="S13" s="257"/>
      <c r="T13" s="258"/>
      <c r="U13" s="256"/>
      <c r="V13" s="277"/>
      <c r="W13" s="326"/>
    </row>
    <row r="14" spans="2:23" ht="7.5" customHeight="1" thickBot="1" x14ac:dyDescent="0.3">
      <c r="B14" s="212"/>
      <c r="C14" s="237"/>
      <c r="D14" s="238"/>
      <c r="E14" s="214"/>
      <c r="F14" s="214"/>
      <c r="G14" s="214"/>
      <c r="H14" s="214"/>
      <c r="I14" s="214"/>
      <c r="J14" s="225"/>
      <c r="K14" s="213"/>
      <c r="M14" s="326"/>
      <c r="N14" s="257"/>
      <c r="O14" s="257"/>
      <c r="P14" s="257"/>
      <c r="Q14" s="257"/>
      <c r="R14" s="257"/>
      <c r="S14" s="257"/>
      <c r="T14" s="258"/>
      <c r="U14" s="256"/>
      <c r="V14" s="277"/>
      <c r="W14" s="326"/>
    </row>
    <row r="15" spans="2:23" ht="15.75" thickBot="1" x14ac:dyDescent="0.3">
      <c r="B15" s="221" t="str">
        <f>IF(J15="","*** ","")</f>
        <v xml:space="preserve">*** </v>
      </c>
      <c r="C15" s="589" t="s">
        <v>496</v>
      </c>
      <c r="D15" s="222"/>
      <c r="E15" s="222"/>
      <c r="F15" s="222"/>
      <c r="G15" s="222"/>
      <c r="H15" s="222"/>
      <c r="I15" s="222"/>
      <c r="J15" s="20"/>
      <c r="K15" s="213"/>
      <c r="M15" s="326"/>
      <c r="N15" s="93" t="s">
        <v>226</v>
      </c>
      <c r="O15" s="93" t="s">
        <v>227</v>
      </c>
      <c r="P15" s="93" t="s">
        <v>237</v>
      </c>
      <c r="Q15" s="257"/>
      <c r="R15" s="257"/>
      <c r="S15" s="257"/>
      <c r="T15" s="258"/>
      <c r="U15" s="256"/>
      <c r="V15" s="277"/>
      <c r="W15" s="326"/>
    </row>
    <row r="16" spans="2:23" ht="7.5" customHeight="1" thickBot="1" x14ac:dyDescent="0.3">
      <c r="B16" s="212"/>
      <c r="C16" s="324"/>
      <c r="D16" s="214"/>
      <c r="E16" s="214"/>
      <c r="F16" s="214"/>
      <c r="G16" s="214"/>
      <c r="H16" s="214"/>
      <c r="I16" s="214"/>
      <c r="J16" s="225"/>
      <c r="K16" s="213"/>
      <c r="M16" s="326"/>
      <c r="N16" s="39"/>
      <c r="O16" s="39"/>
      <c r="P16" s="39"/>
      <c r="Q16" s="257"/>
      <c r="R16" s="257"/>
      <c r="S16" s="257"/>
      <c r="T16" s="258"/>
      <c r="U16" s="256"/>
      <c r="V16" s="277"/>
      <c r="W16" s="326"/>
    </row>
    <row r="17" spans="2:23" ht="15.75" thickBot="1" x14ac:dyDescent="0.3">
      <c r="B17" s="221" t="str">
        <f>IF(J17="","*** ","")</f>
        <v xml:space="preserve">*** </v>
      </c>
      <c r="C17" s="589" t="s">
        <v>209</v>
      </c>
      <c r="D17" s="222"/>
      <c r="E17" s="222"/>
      <c r="F17" s="222"/>
      <c r="G17" s="222"/>
      <c r="H17" s="222"/>
      <c r="I17" s="276" t="str">
        <f>IF($J$17="","",IF($J$17=$J$4,"* Inciting/Usurping a PC you already own ? *",IF(LEN(P17)&lt;=1,CONCATENATE(VLOOKUP($J$17,$N$90:$O$115,2,FALSE)," "),IF(LEFT(P17,1)="/",CONCATENATE(VLOOKUP($J$17,$N$90:$O$115,2,FALSE)," [ ",O17," Trait ]"),IF(RIGHT(P17,1)="/",CONCATENATE(VLOOKUP($J$17,$N$90:$O$115,2,FALSE)," [ ",N17," Trait ]"),CONCATENATE(VLOOKUP($J$17,$N$90:$O$115,2,FALSE)," [ Traits: ",P17," ]"))))))</f>
        <v/>
      </c>
      <c r="J17" s="20"/>
      <c r="K17" s="213"/>
      <c r="M17" s="326"/>
      <c r="N17" s="358" t="str">
        <f>IF(J17="","",IF(J17="Neutral","",IF(J17="Human","",IF(VLOOKUP($J$17,'Kingdom Traits Matrix'!$D$4:$T$27,17,FALSE)="●","Order",""))))</f>
        <v/>
      </c>
      <c r="O17" s="358" t="str">
        <f>IF(J17="","",IF(J17="Neutral","",IF(J17="Human","",IF(VLOOKUP($J$17,'Kingdom Traits Matrix'!$D$4:$W$27,20,FALSE)="●","Ruthless",""))))</f>
        <v/>
      </c>
      <c r="P17" s="358" t="str">
        <f>CONCATENATE(N17,"/",O17)</f>
        <v>/</v>
      </c>
      <c r="Q17" s="257"/>
      <c r="R17" s="257"/>
      <c r="S17" s="257"/>
      <c r="T17" s="258"/>
      <c r="U17" s="256"/>
      <c r="V17" s="277"/>
      <c r="W17" s="326"/>
    </row>
    <row r="18" spans="2:23" ht="7.5" customHeight="1" thickBot="1" x14ac:dyDescent="0.3">
      <c r="B18" s="212"/>
      <c r="C18" s="324"/>
      <c r="D18" s="214"/>
      <c r="E18" s="214"/>
      <c r="F18" s="214"/>
      <c r="G18" s="214"/>
      <c r="H18" s="214"/>
      <c r="I18" s="214"/>
      <c r="J18" s="225"/>
      <c r="K18" s="213"/>
      <c r="M18" s="326"/>
      <c r="N18" s="257"/>
      <c r="O18" s="257"/>
      <c r="P18" s="257"/>
      <c r="Q18" s="257"/>
      <c r="R18" s="257"/>
      <c r="S18" s="257"/>
      <c r="T18" s="258"/>
      <c r="U18" s="256"/>
      <c r="V18" s="277"/>
      <c r="W18" s="326"/>
    </row>
    <row r="19" spans="2:23" ht="15.75" thickBot="1" x14ac:dyDescent="0.3">
      <c r="B19" s="221" t="str">
        <f>IF(C19="Is this the Population Center owner's Capital?","",IF(J19="","*** ",""))</f>
        <v xml:space="preserve">*** </v>
      </c>
      <c r="C19" s="589" t="str">
        <f>IF(J17="Neutral","Is this the Population Center owner's Capital?",IF(J17="Human","Is this the Population Center owner's Capital?","Is this the Population Center owner's Capital ?"))</f>
        <v>Is this the Population Center owner's Capital ?</v>
      </c>
      <c r="D19" s="222"/>
      <c r="E19" s="222"/>
      <c r="F19" s="222"/>
      <c r="G19" s="686" t="str">
        <f>IF($J$17="","",IF($J$17="Neutral","",IF($J$17="Human","",IF($J$19="Yes","* Capitals are not affected by emissary actions *",""))))</f>
        <v/>
      </c>
      <c r="H19" s="686"/>
      <c r="I19" s="687"/>
      <c r="J19" s="20"/>
      <c r="K19" s="490" t="str">
        <f>IF($J$17="","",IF($J$17="Neutral","",IF($J$17="Human","",IF($J$19="Yes","*",""))))</f>
        <v/>
      </c>
      <c r="M19" s="326"/>
      <c r="N19" s="257"/>
      <c r="O19" s="257"/>
      <c r="P19" s="257"/>
      <c r="Q19" s="257"/>
      <c r="R19" s="257"/>
      <c r="S19" s="257"/>
      <c r="T19" s="258"/>
      <c r="U19" s="256"/>
      <c r="V19" s="277"/>
      <c r="W19" s="326"/>
    </row>
    <row r="20" spans="2:23" ht="7.5" customHeight="1" thickBot="1" x14ac:dyDescent="0.3">
      <c r="B20" s="212"/>
      <c r="C20" s="324"/>
      <c r="D20" s="214"/>
      <c r="E20" s="214"/>
      <c r="F20" s="214"/>
      <c r="G20" s="214"/>
      <c r="H20" s="214"/>
      <c r="I20" s="214"/>
      <c r="J20" s="225"/>
      <c r="K20" s="213"/>
      <c r="M20" s="326"/>
      <c r="N20" s="257"/>
      <c r="O20" s="257"/>
      <c r="P20" s="257"/>
      <c r="Q20" s="257"/>
      <c r="R20" s="257"/>
      <c r="S20" s="257"/>
      <c r="T20" s="258"/>
      <c r="U20" s="256"/>
      <c r="V20" s="277"/>
      <c r="W20" s="326"/>
    </row>
    <row r="21" spans="2:23" ht="15.75" thickBot="1" x14ac:dyDescent="0.3">
      <c r="B21" s="221" t="str">
        <f>IF(C21="What is the PC owner's level of Control in the region?","",IF(J21="","*** ",""))</f>
        <v xml:space="preserve">*** </v>
      </c>
      <c r="C21" s="589" t="str">
        <f>IF(J17="Neutral","What is the PC owner's level of Control in the region?",IF(J17="Human","What is the PC owner's level of Control in the region?","What is the PC owner's level of Control in the region ?"))</f>
        <v>What is the PC owner's level of Control in the region ?</v>
      </c>
      <c r="D21" s="222"/>
      <c r="E21" s="222"/>
      <c r="F21" s="222"/>
      <c r="G21" s="222"/>
      <c r="H21" s="222"/>
      <c r="I21" s="222"/>
      <c r="J21" s="20"/>
      <c r="K21" s="213"/>
      <c r="M21" s="326"/>
      <c r="N21" s="257"/>
      <c r="O21" s="257"/>
      <c r="P21" s="257"/>
      <c r="Q21" s="257"/>
      <c r="R21" s="257"/>
      <c r="S21" s="257"/>
      <c r="T21" s="258"/>
      <c r="U21" s="256"/>
      <c r="V21" s="277"/>
      <c r="W21" s="326"/>
    </row>
    <row r="22" spans="2:23" ht="7.5" customHeight="1" thickBot="1" x14ac:dyDescent="0.3">
      <c r="B22" s="212"/>
      <c r="C22" s="324"/>
      <c r="D22" s="214"/>
      <c r="E22" s="214"/>
      <c r="F22" s="214"/>
      <c r="G22" s="214"/>
      <c r="H22" s="214"/>
      <c r="I22" s="214"/>
      <c r="J22" s="225"/>
      <c r="K22" s="213"/>
      <c r="M22" s="326"/>
      <c r="N22" s="257"/>
      <c r="O22" s="257"/>
      <c r="P22" s="257"/>
      <c r="Q22" s="257"/>
      <c r="R22" s="257"/>
      <c r="S22" s="257"/>
      <c r="T22" s="258"/>
      <c r="U22" s="256"/>
      <c r="V22" s="277"/>
      <c r="W22" s="326"/>
    </row>
    <row r="23" spans="2:23" ht="15.75" thickBot="1" x14ac:dyDescent="0.3">
      <c r="B23" s="221" t="str">
        <f>IF(C23="What is the PC owner's Regional Reaction in the region?","",IF(J23="","*** ",""))</f>
        <v xml:space="preserve">*** </v>
      </c>
      <c r="C23" s="589" t="str">
        <f>IF(J17="Neutral","What is the PC owner's Regional Reaction in the region?",IF(J17="Human","What is the PC owner's Regional Reaction in the region?","What is the PC owner's Regional Reaction in the region ?"))</f>
        <v>What is the PC owner's Regional Reaction in the region ?</v>
      </c>
      <c r="D23" s="222"/>
      <c r="E23" s="222"/>
      <c r="F23" s="222"/>
      <c r="G23" s="222"/>
      <c r="H23" s="222"/>
      <c r="I23" s="222"/>
      <c r="J23" s="20"/>
      <c r="K23" s="213"/>
      <c r="M23" s="326"/>
      <c r="N23" s="257"/>
      <c r="O23" s="257"/>
      <c r="P23" s="257"/>
      <c r="Q23" s="257"/>
      <c r="R23" s="257"/>
      <c r="S23" s="257"/>
      <c r="T23" s="258"/>
      <c r="U23" s="256"/>
      <c r="V23" s="277"/>
      <c r="W23" s="326"/>
    </row>
    <row r="24" spans="2:23" ht="7.5" customHeight="1" thickBot="1" x14ac:dyDescent="0.3">
      <c r="B24" s="212"/>
      <c r="C24" s="324"/>
      <c r="D24" s="214"/>
      <c r="E24" s="214"/>
      <c r="F24" s="214"/>
      <c r="G24" s="214"/>
      <c r="H24" s="214"/>
      <c r="I24" s="214"/>
      <c r="J24" s="225"/>
      <c r="K24" s="213"/>
      <c r="M24" s="326"/>
      <c r="N24" s="257"/>
      <c r="O24" s="257"/>
      <c r="P24" s="257"/>
      <c r="Q24" s="257"/>
      <c r="R24" s="257"/>
      <c r="S24" s="257"/>
      <c r="T24" s="258"/>
      <c r="U24" s="256"/>
      <c r="V24" s="277"/>
      <c r="W24" s="326"/>
    </row>
    <row r="25" spans="2:23" ht="15.75" thickBot="1" x14ac:dyDescent="0.3">
      <c r="B25" s="239" t="str">
        <f>IF($I$25="","*** ",IF($I$25="No","",IF($N$78=0,"*** ","")))</f>
        <v xml:space="preserve">*** </v>
      </c>
      <c r="C25" s="590" t="s">
        <v>518</v>
      </c>
      <c r="D25" s="214"/>
      <c r="E25" s="214"/>
      <c r="F25" s="214"/>
      <c r="G25" s="214"/>
      <c r="H25" s="214"/>
      <c r="I25" s="20"/>
      <c r="J25" s="325" t="s">
        <v>250</v>
      </c>
      <c r="K25" s="213"/>
      <c r="M25" s="326"/>
      <c r="N25" s="257"/>
      <c r="O25" s="257"/>
      <c r="P25" s="257"/>
      <c r="Q25" s="257"/>
      <c r="R25" s="257"/>
      <c r="S25" s="257"/>
      <c r="T25" s="258"/>
      <c r="U25" s="256"/>
      <c r="V25" s="277"/>
      <c r="W25" s="326"/>
    </row>
    <row r="26" spans="2:23" ht="7.5" customHeight="1" x14ac:dyDescent="0.25">
      <c r="B26" s="212"/>
      <c r="C26" s="240"/>
      <c r="D26" s="214"/>
      <c r="E26" s="214"/>
      <c r="F26" s="214"/>
      <c r="G26" s="214"/>
      <c r="H26" s="214"/>
      <c r="I26" s="214"/>
      <c r="J26" s="225"/>
      <c r="K26" s="213"/>
      <c r="M26" s="326"/>
      <c r="N26" s="257"/>
      <c r="O26" s="257"/>
      <c r="P26" s="257"/>
      <c r="Q26" s="257"/>
      <c r="R26" s="257"/>
      <c r="S26" s="257"/>
      <c r="T26" s="258"/>
      <c r="U26" s="256"/>
      <c r="V26" s="277"/>
      <c r="W26" s="326"/>
    </row>
    <row r="27" spans="2:23" x14ac:dyDescent="0.25">
      <c r="B27" s="239"/>
      <c r="C27" s="244" t="s">
        <v>221</v>
      </c>
      <c r="D27" s="214"/>
      <c r="E27" s="214"/>
      <c r="F27" s="214"/>
      <c r="G27" s="241" t="s">
        <v>218</v>
      </c>
      <c r="H27" s="241" t="s">
        <v>219</v>
      </c>
      <c r="I27" s="241" t="s">
        <v>220</v>
      </c>
      <c r="J27" s="241" t="s">
        <v>842</v>
      </c>
      <c r="K27" s="213"/>
      <c r="M27" s="326"/>
      <c r="N27" s="93" t="s">
        <v>224</v>
      </c>
      <c r="O27" s="93" t="s">
        <v>238</v>
      </c>
      <c r="P27" s="257"/>
      <c r="Q27" s="257"/>
      <c r="R27" s="257"/>
      <c r="S27" s="257"/>
      <c r="T27" s="258"/>
      <c r="U27" s="256"/>
      <c r="V27" s="277"/>
      <c r="W27" s="326"/>
    </row>
    <row r="28" spans="2:23" x14ac:dyDescent="0.25">
      <c r="B28" s="221"/>
      <c r="C28" s="591" t="s">
        <v>522</v>
      </c>
      <c r="D28" s="214"/>
      <c r="E28" s="214"/>
      <c r="F28" s="29" t="str">
        <f>IF($N28="",CONCATENATE($O28,". "),CONCATENATE("[",$N28," trait] ",$O28,". "))</f>
        <v xml:space="preserve">1. </v>
      </c>
      <c r="G28" s="30"/>
      <c r="H28" s="30"/>
      <c r="I28" s="31"/>
      <c r="J28" s="31"/>
      <c r="K28" s="91" t="str">
        <f>IF($I$25="","",IF($I$25="No","",IF($G28="","",IF($H28="","",IF($I28="","",IF($J28="","","Ω"))))))</f>
        <v/>
      </c>
      <c r="M28" s="326"/>
      <c r="N28" s="358" t="str">
        <f>IF($K28="","",IF($G28="","",IF(VLOOKUP($G28,'Kingdom Traits Matrix'!$D$4:$AK$27,16,FALSE)="●","Oratory","")))</f>
        <v/>
      </c>
      <c r="O28" s="359">
        <v>1</v>
      </c>
      <c r="P28" s="257"/>
      <c r="Q28" s="257"/>
      <c r="R28" s="257"/>
      <c r="S28" s="257"/>
      <c r="T28" s="258"/>
      <c r="U28" s="256"/>
      <c r="V28" s="277"/>
      <c r="W28" s="326"/>
    </row>
    <row r="29" spans="2:23" x14ac:dyDescent="0.25">
      <c r="B29" s="221"/>
      <c r="C29" s="591" t="s">
        <v>521</v>
      </c>
      <c r="D29" s="243"/>
      <c r="E29" s="214"/>
      <c r="F29" s="29" t="str">
        <f>IF($N29="",CONCATENATE($O29,". "),CONCATENATE("[",$N29," trait] ",$O29,". "))</f>
        <v xml:space="preserve">2. </v>
      </c>
      <c r="G29" s="30"/>
      <c r="H29" s="30"/>
      <c r="I29" s="31"/>
      <c r="J29" s="31"/>
      <c r="K29" s="91" t="str">
        <f t="shared" ref="K29:K32" si="1">IF($I$25="","",IF($I$25="No","",IF($G29="","",IF($H29="","",IF($I29="","",IF($J29="","","Ω"))))))</f>
        <v/>
      </c>
      <c r="M29" s="326"/>
      <c r="N29" s="358" t="str">
        <f>IF($K29="","",IF($G29="","",IF(VLOOKUP($G29,'Kingdom Traits Matrix'!$D$4:$AK$27,16,FALSE)="●","Oratory","")))</f>
        <v/>
      </c>
      <c r="O29" s="359">
        <v>2</v>
      </c>
      <c r="P29" s="257"/>
      <c r="Q29" s="257"/>
      <c r="R29" s="257"/>
      <c r="S29" s="257"/>
      <c r="T29" s="258"/>
      <c r="U29" s="256"/>
      <c r="V29" s="277"/>
      <c r="W29" s="326"/>
    </row>
    <row r="30" spans="2:23" x14ac:dyDescent="0.25">
      <c r="B30" s="221"/>
      <c r="C30" s="591" t="s">
        <v>520</v>
      </c>
      <c r="D30" s="244"/>
      <c r="E30" s="214"/>
      <c r="F30" s="29" t="str">
        <f>IF($N30="",CONCATENATE($O30,". "),CONCATENATE("[",$N30," trait] ",$O30,". "))</f>
        <v xml:space="preserve">3. </v>
      </c>
      <c r="G30" s="30"/>
      <c r="H30" s="30"/>
      <c r="I30" s="31"/>
      <c r="J30" s="31"/>
      <c r="K30" s="91" t="str">
        <f t="shared" si="1"/>
        <v/>
      </c>
      <c r="M30" s="326"/>
      <c r="N30" s="358" t="str">
        <f>IF($K30="","",IF($G30="","",IF(VLOOKUP($G30,'Kingdom Traits Matrix'!$D$4:$AK$27,16,FALSE)="●","Oratory","")))</f>
        <v/>
      </c>
      <c r="O30" s="359">
        <v>3</v>
      </c>
      <c r="P30" s="257"/>
      <c r="Q30" s="257"/>
      <c r="R30" s="257"/>
      <c r="S30" s="257"/>
      <c r="T30" s="258"/>
      <c r="U30" s="256"/>
      <c r="V30" s="277"/>
      <c r="W30" s="326"/>
    </row>
    <row r="31" spans="2:23" x14ac:dyDescent="0.25">
      <c r="B31" s="221"/>
      <c r="C31" s="591" t="s">
        <v>839</v>
      </c>
      <c r="D31" s="244"/>
      <c r="E31" s="214"/>
      <c r="F31" s="29" t="str">
        <f>IF($N31="",CONCATENATE($O31,". "),CONCATENATE("[",$N31," trait] ",$O31,". "))</f>
        <v xml:space="preserve">4. </v>
      </c>
      <c r="G31" s="30"/>
      <c r="H31" s="30"/>
      <c r="I31" s="31"/>
      <c r="J31" s="31"/>
      <c r="K31" s="91" t="str">
        <f t="shared" si="1"/>
        <v/>
      </c>
      <c r="M31" s="326"/>
      <c r="N31" s="358" t="str">
        <f>IF($K31="","",IF($G31="","",IF(VLOOKUP($G31,'Kingdom Traits Matrix'!$D$4:$AK$27,16,FALSE)="●","Oratory","")))</f>
        <v/>
      </c>
      <c r="O31" s="359">
        <v>4</v>
      </c>
      <c r="P31" s="257"/>
      <c r="Q31" s="257"/>
      <c r="R31" s="257"/>
      <c r="S31" s="257"/>
      <c r="T31" s="258"/>
      <c r="U31" s="256"/>
      <c r="V31" s="277"/>
      <c r="W31" s="326"/>
    </row>
    <row r="32" spans="2:23" x14ac:dyDescent="0.25">
      <c r="B32" s="221"/>
      <c r="C32" s="592" t="s">
        <v>252</v>
      </c>
      <c r="D32" s="214"/>
      <c r="E32" s="214"/>
      <c r="F32" s="29" t="str">
        <f>IF($N32="",CONCATENATE($O32,". "),CONCATENATE("[",$N32," trait] ",$O32,". "))</f>
        <v xml:space="preserve">5. </v>
      </c>
      <c r="G32" s="30"/>
      <c r="H32" s="30"/>
      <c r="I32" s="31"/>
      <c r="J32" s="31"/>
      <c r="K32" s="91" t="str">
        <f t="shared" si="1"/>
        <v/>
      </c>
      <c r="M32" s="326"/>
      <c r="N32" s="358" t="str">
        <f>IF($K32="","",IF($G32="","",IF(VLOOKUP($G32,'Kingdom Traits Matrix'!$D$4:$AK$27,16,FALSE)="●","Oratory","")))</f>
        <v/>
      </c>
      <c r="O32" s="359">
        <v>5</v>
      </c>
      <c r="P32" s="257"/>
      <c r="Q32" s="257"/>
      <c r="R32" s="257"/>
      <c r="S32" s="257"/>
      <c r="T32" s="258"/>
      <c r="U32" s="256"/>
      <c r="V32" s="277"/>
      <c r="W32" s="326"/>
    </row>
    <row r="33" spans="2:23" ht="7.5" customHeight="1" x14ac:dyDescent="0.25">
      <c r="B33" s="212"/>
      <c r="C33" s="245"/>
      <c r="D33" s="245"/>
      <c r="E33" s="222"/>
      <c r="F33" s="222"/>
      <c r="G33" s="222"/>
      <c r="H33" s="222"/>
      <c r="I33" s="222"/>
      <c r="J33" s="222"/>
      <c r="K33" s="213"/>
      <c r="M33" s="326"/>
      <c r="N33" s="257"/>
      <c r="O33" s="257"/>
      <c r="P33" s="257"/>
      <c r="Q33" s="257"/>
      <c r="R33" s="257"/>
      <c r="S33" s="257"/>
      <c r="T33" s="258"/>
      <c r="U33" s="256"/>
      <c r="V33" s="277"/>
      <c r="W33" s="326"/>
    </row>
    <row r="34" spans="2:23" ht="7.5" customHeight="1" thickBot="1" x14ac:dyDescent="0.3">
      <c r="B34" s="212"/>
      <c r="C34" s="224"/>
      <c r="D34" s="214"/>
      <c r="E34" s="214"/>
      <c r="F34" s="214"/>
      <c r="G34" s="214"/>
      <c r="H34" s="214"/>
      <c r="I34" s="214"/>
      <c r="J34" s="225"/>
      <c r="K34" s="213"/>
      <c r="M34" s="326"/>
      <c r="N34" s="257"/>
      <c r="O34" s="257"/>
      <c r="P34" s="257"/>
      <c r="Q34" s="257"/>
      <c r="R34" s="257"/>
      <c r="S34" s="257"/>
      <c r="T34" s="258"/>
      <c r="U34" s="256"/>
      <c r="V34" s="277"/>
      <c r="W34" s="326"/>
    </row>
    <row r="35" spans="2:23" ht="15.75" thickBot="1" x14ac:dyDescent="0.3">
      <c r="B35" s="239" t="str">
        <f>IF($I$35="","*** ",IF($I$35="No","",IF($N$87=0,"*** ","")))</f>
        <v xml:space="preserve">*** </v>
      </c>
      <c r="C35" s="590" t="s">
        <v>519</v>
      </c>
      <c r="D35" s="214"/>
      <c r="E35" s="214"/>
      <c r="F35" s="214"/>
      <c r="G35" s="214"/>
      <c r="H35" s="214"/>
      <c r="I35" s="20"/>
      <c r="J35" s="325" t="s">
        <v>251</v>
      </c>
      <c r="K35" s="213"/>
      <c r="M35" s="326"/>
      <c r="N35" s="257"/>
      <c r="O35" s="257"/>
      <c r="P35" s="257"/>
      <c r="Q35" s="257"/>
      <c r="R35" s="257"/>
      <c r="S35" s="257"/>
      <c r="T35" s="258"/>
      <c r="U35" s="256"/>
      <c r="V35" s="277"/>
      <c r="W35" s="326"/>
    </row>
    <row r="36" spans="2:23" ht="7.5" customHeight="1" x14ac:dyDescent="0.25">
      <c r="B36" s="212"/>
      <c r="C36" s="240"/>
      <c r="D36" s="214"/>
      <c r="E36" s="214"/>
      <c r="F36" s="214"/>
      <c r="G36" s="214"/>
      <c r="H36" s="214"/>
      <c r="I36" s="214"/>
      <c r="J36" s="225"/>
      <c r="K36" s="213"/>
      <c r="M36" s="326"/>
      <c r="N36" s="257"/>
      <c r="O36" s="257"/>
      <c r="P36" s="257"/>
      <c r="Q36" s="257"/>
      <c r="R36" s="257"/>
      <c r="S36" s="257"/>
      <c r="T36" s="258"/>
      <c r="U36" s="256"/>
      <c r="V36" s="277"/>
      <c r="W36" s="326"/>
    </row>
    <row r="37" spans="2:23" x14ac:dyDescent="0.25">
      <c r="B37" s="239"/>
      <c r="C37" s="244" t="s">
        <v>221</v>
      </c>
      <c r="D37" s="214"/>
      <c r="E37" s="214"/>
      <c r="F37" s="214"/>
      <c r="G37" s="241" t="s">
        <v>218</v>
      </c>
      <c r="H37" s="241" t="s">
        <v>219</v>
      </c>
      <c r="I37" s="241" t="s">
        <v>220</v>
      </c>
      <c r="J37" s="241" t="s">
        <v>842</v>
      </c>
      <c r="K37" s="213"/>
      <c r="M37" s="326"/>
      <c r="N37" s="93" t="s">
        <v>225</v>
      </c>
      <c r="O37" s="93" t="s">
        <v>238</v>
      </c>
      <c r="P37" s="257"/>
      <c r="Q37" s="257"/>
      <c r="R37" s="257"/>
      <c r="S37" s="257"/>
      <c r="T37" s="258"/>
      <c r="U37" s="256"/>
      <c r="V37" s="277"/>
      <c r="W37" s="326"/>
    </row>
    <row r="38" spans="2:23" x14ac:dyDescent="0.25">
      <c r="B38" s="221"/>
      <c r="C38" s="591" t="s">
        <v>522</v>
      </c>
      <c r="D38" s="214"/>
      <c r="E38" s="214"/>
      <c r="F38" s="29" t="str">
        <f>IF($N38="",CONCATENATE($O38,". "),CONCATENATE("[",$N38," trait] ",$O38,". "))</f>
        <v xml:space="preserve">1. </v>
      </c>
      <c r="G38" s="30"/>
      <c r="H38" s="30"/>
      <c r="I38" s="31"/>
      <c r="J38" s="31"/>
      <c r="K38" s="91" t="str">
        <f>IF($I$35="","",IF($I$35="No","",IF($G38="","",IF($H38="","",IF($I38="","",IF($J38="","","ψ"))))))</f>
        <v/>
      </c>
      <c r="M38" s="326"/>
      <c r="N38" s="358" t="str">
        <f>IF($K38="","",IF($G38="","",IF(VLOOKUP($G38,'Kingdom Traits Matrix'!$D$4:$AK$27,6,FALSE)="●","Cunning","")))</f>
        <v/>
      </c>
      <c r="O38" s="359">
        <v>1</v>
      </c>
      <c r="P38" s="257"/>
      <c r="Q38" s="257"/>
      <c r="R38" s="257"/>
      <c r="S38" s="257"/>
      <c r="T38" s="258"/>
      <c r="U38" s="256"/>
      <c r="V38" s="277"/>
      <c r="W38" s="326"/>
    </row>
    <row r="39" spans="2:23" x14ac:dyDescent="0.25">
      <c r="B39" s="221"/>
      <c r="C39" s="591" t="s">
        <v>521</v>
      </c>
      <c r="D39" s="243"/>
      <c r="E39" s="214"/>
      <c r="F39" s="29" t="str">
        <f>IF($N39="",CONCATENATE($O39,". "),CONCATENATE("[",$N39," trait] ",$O39,". "))</f>
        <v xml:space="preserve">2. </v>
      </c>
      <c r="G39" s="30"/>
      <c r="H39" s="30"/>
      <c r="I39" s="31"/>
      <c r="J39" s="31"/>
      <c r="K39" s="91" t="str">
        <f t="shared" ref="K39:K42" si="2">IF($I$35="","",IF($I$35="No","",IF($G39="","",IF($H39="","",IF($I39="","",IF($J39="","","ψ"))))))</f>
        <v/>
      </c>
      <c r="M39" s="326"/>
      <c r="N39" s="358" t="str">
        <f>IF($K39="","",IF($G39="","",IF(VLOOKUP($G39,'Kingdom Traits Matrix'!$D$4:$AK$27,6,FALSE)="●","Cunning","")))</f>
        <v/>
      </c>
      <c r="O39" s="359">
        <v>2</v>
      </c>
      <c r="P39" s="257"/>
      <c r="Q39" s="257"/>
      <c r="R39" s="257"/>
      <c r="S39" s="257"/>
      <c r="T39" s="258"/>
      <c r="U39" s="256"/>
      <c r="V39" s="277"/>
      <c r="W39" s="326"/>
    </row>
    <row r="40" spans="2:23" x14ac:dyDescent="0.25">
      <c r="B40" s="221"/>
      <c r="C40" s="591" t="s">
        <v>520</v>
      </c>
      <c r="D40" s="244"/>
      <c r="E40" s="214"/>
      <c r="F40" s="29" t="str">
        <f>IF($N40="",CONCATENATE($O40,". "),CONCATENATE("[",$N40," trait] ",$O40,". "))</f>
        <v xml:space="preserve">3. </v>
      </c>
      <c r="G40" s="30"/>
      <c r="H40" s="30"/>
      <c r="I40" s="31"/>
      <c r="J40" s="31"/>
      <c r="K40" s="91" t="str">
        <f t="shared" si="2"/>
        <v/>
      </c>
      <c r="M40" s="326"/>
      <c r="N40" s="358" t="str">
        <f>IF($K40="","",IF($G40="","",IF(VLOOKUP($G40,'Kingdom Traits Matrix'!$D$4:$AK$27,6,FALSE)="●","Cunning","")))</f>
        <v/>
      </c>
      <c r="O40" s="359">
        <v>3</v>
      </c>
      <c r="P40" s="257"/>
      <c r="Q40" s="257"/>
      <c r="R40" s="257"/>
      <c r="S40" s="257"/>
      <c r="T40" s="258"/>
      <c r="U40" s="256"/>
      <c r="V40" s="277"/>
      <c r="W40" s="326"/>
    </row>
    <row r="41" spans="2:23" x14ac:dyDescent="0.25">
      <c r="B41" s="221"/>
      <c r="C41" s="591" t="s">
        <v>839</v>
      </c>
      <c r="D41" s="244"/>
      <c r="E41" s="214"/>
      <c r="F41" s="29" t="str">
        <f>IF($N41="",CONCATENATE($O41,". "),CONCATENATE("[",$N41," trait] ",$O41,". "))</f>
        <v xml:space="preserve">4. </v>
      </c>
      <c r="G41" s="30"/>
      <c r="H41" s="30"/>
      <c r="I41" s="31"/>
      <c r="J41" s="31"/>
      <c r="K41" s="91" t="str">
        <f t="shared" si="2"/>
        <v/>
      </c>
      <c r="M41" s="326"/>
      <c r="N41" s="358" t="str">
        <f>IF($K41="","",IF($G41="","",IF(VLOOKUP($G41,'Kingdom Traits Matrix'!$D$4:$AK$27,6,FALSE)="●","Cunning","")))</f>
        <v/>
      </c>
      <c r="O41" s="359">
        <v>4</v>
      </c>
      <c r="P41" s="257"/>
      <c r="Q41" s="257"/>
      <c r="R41" s="257"/>
      <c r="S41" s="257"/>
      <c r="T41" s="258"/>
      <c r="U41" s="256"/>
      <c r="V41" s="277"/>
      <c r="W41" s="326"/>
    </row>
    <row r="42" spans="2:23" x14ac:dyDescent="0.25">
      <c r="B42" s="221"/>
      <c r="C42" s="592" t="s">
        <v>252</v>
      </c>
      <c r="D42" s="214"/>
      <c r="E42" s="214"/>
      <c r="F42" s="29" t="str">
        <f>IF($N42="",CONCATENATE($O42,". "),CONCATENATE("[",$N42," trait] ",$O42,". "))</f>
        <v xml:space="preserve">5. </v>
      </c>
      <c r="G42" s="30"/>
      <c r="H42" s="30"/>
      <c r="I42" s="31"/>
      <c r="J42" s="31"/>
      <c r="K42" s="91" t="str">
        <f t="shared" si="2"/>
        <v/>
      </c>
      <c r="M42" s="326"/>
      <c r="N42" s="358" t="str">
        <f>IF($K42="","",IF($G42="","",IF(VLOOKUP($G42,'Kingdom Traits Matrix'!$D$4:$AK$27,6,FALSE)="●","Cunning","")))</f>
        <v/>
      </c>
      <c r="O42" s="359">
        <v>5</v>
      </c>
      <c r="P42" s="257"/>
      <c r="Q42" s="257"/>
      <c r="R42" s="257"/>
      <c r="S42" s="257"/>
      <c r="T42" s="258"/>
      <c r="U42" s="256"/>
      <c r="V42" s="277"/>
      <c r="W42" s="326"/>
    </row>
    <row r="43" spans="2:23" ht="7.5" customHeight="1" x14ac:dyDescent="0.25">
      <c r="B43" s="212"/>
      <c r="C43" s="245"/>
      <c r="D43" s="245"/>
      <c r="E43" s="222"/>
      <c r="F43" s="222"/>
      <c r="G43" s="222"/>
      <c r="H43" s="222"/>
      <c r="I43" s="222"/>
      <c r="J43" s="222"/>
      <c r="K43" s="213"/>
      <c r="M43" s="326"/>
      <c r="N43" s="257"/>
      <c r="O43" s="257"/>
      <c r="P43" s="257"/>
      <c r="Q43" s="257"/>
      <c r="R43" s="257"/>
      <c r="S43" s="257"/>
      <c r="T43" s="258"/>
      <c r="U43" s="256"/>
      <c r="V43" s="277"/>
      <c r="W43" s="326"/>
    </row>
    <row r="44" spans="2:23" ht="7.5" customHeight="1" thickBot="1" x14ac:dyDescent="0.3">
      <c r="B44" s="215"/>
      <c r="C44" s="216"/>
      <c r="D44" s="216"/>
      <c r="E44" s="216"/>
      <c r="F44" s="216"/>
      <c r="G44" s="216"/>
      <c r="H44" s="216"/>
      <c r="I44" s="216"/>
      <c r="J44" s="216"/>
      <c r="K44" s="217"/>
      <c r="M44" s="326"/>
      <c r="N44" s="257"/>
      <c r="O44" s="257"/>
      <c r="P44" s="257"/>
      <c r="Q44" s="257"/>
      <c r="R44" s="257"/>
      <c r="S44" s="257"/>
      <c r="T44" s="258"/>
      <c r="U44" s="256"/>
      <c r="V44" s="277"/>
      <c r="W44" s="326"/>
    </row>
    <row r="45" spans="2:23" ht="5.0999999999999996" customHeight="1" thickTop="1" thickBot="1" x14ac:dyDescent="0.3">
      <c r="C45" s="246"/>
      <c r="D45" s="246"/>
      <c r="M45" s="326"/>
      <c r="N45" s="257"/>
      <c r="O45" s="257"/>
      <c r="P45" s="257"/>
      <c r="Q45" s="257"/>
      <c r="R45" s="257"/>
      <c r="S45" s="257"/>
      <c r="T45" s="258"/>
      <c r="U45" s="256"/>
      <c r="V45" s="277"/>
      <c r="W45" s="326"/>
    </row>
    <row r="46" spans="2:23" ht="7.5" customHeight="1" thickTop="1" x14ac:dyDescent="0.25">
      <c r="B46" s="210"/>
      <c r="C46" s="247"/>
      <c r="D46" s="247"/>
      <c r="E46" s="247"/>
      <c r="F46" s="247"/>
      <c r="G46" s="248"/>
      <c r="H46" s="247"/>
      <c r="I46" s="247"/>
      <c r="J46" s="247"/>
      <c r="K46" s="211"/>
      <c r="M46" s="326"/>
      <c r="N46" s="257"/>
      <c r="O46" s="257"/>
      <c r="P46" s="257"/>
      <c r="Q46" s="257"/>
      <c r="R46" s="257"/>
      <c r="S46" s="257"/>
      <c r="T46" s="258"/>
      <c r="U46" s="256"/>
      <c r="V46" s="277"/>
      <c r="W46" s="326"/>
    </row>
    <row r="47" spans="2:23" ht="15.75" x14ac:dyDescent="0.25">
      <c r="B47" s="212"/>
      <c r="C47" s="683" t="s">
        <v>709</v>
      </c>
      <c r="D47" s="683"/>
      <c r="E47" s="683"/>
      <c r="F47" s="214"/>
      <c r="G47" s="249"/>
      <c r="H47" s="683" t="s">
        <v>708</v>
      </c>
      <c r="I47" s="683"/>
      <c r="J47" s="683"/>
      <c r="K47" s="213"/>
      <c r="M47" s="326"/>
      <c r="N47" s="257"/>
      <c r="O47" s="257"/>
      <c r="P47" s="257"/>
      <c r="Q47" s="257"/>
      <c r="R47" s="257"/>
      <c r="S47" s="257"/>
      <c r="T47" s="258"/>
      <c r="U47" s="256"/>
      <c r="V47" s="277"/>
      <c r="W47" s="326"/>
    </row>
    <row r="48" spans="2:23" ht="5.0999999999999996" customHeight="1" x14ac:dyDescent="0.25">
      <c r="B48" s="212"/>
      <c r="C48" s="220"/>
      <c r="D48" s="220"/>
      <c r="E48" s="214"/>
      <c r="F48" s="214"/>
      <c r="G48" s="249"/>
      <c r="H48" s="214"/>
      <c r="I48" s="214"/>
      <c r="J48" s="214"/>
      <c r="K48" s="213"/>
      <c r="M48" s="326"/>
      <c r="N48" s="257"/>
      <c r="O48" s="257"/>
      <c r="P48" s="257"/>
      <c r="Q48" s="257"/>
      <c r="R48" s="257"/>
      <c r="S48" s="257"/>
      <c r="T48" s="258"/>
      <c r="U48" s="256"/>
      <c r="V48" s="277"/>
      <c r="W48" s="326"/>
    </row>
    <row r="49" spans="2:23" ht="17.25" customHeight="1" x14ac:dyDescent="0.25">
      <c r="B49" s="212"/>
      <c r="C49" s="250" t="s">
        <v>7</v>
      </c>
      <c r="D49" s="251" t="s">
        <v>8</v>
      </c>
      <c r="E49" s="250" t="s">
        <v>9</v>
      </c>
      <c r="F49" s="214"/>
      <c r="G49" s="249"/>
      <c r="H49" s="250" t="s">
        <v>7</v>
      </c>
      <c r="I49" s="251" t="s">
        <v>8</v>
      </c>
      <c r="J49" s="250" t="s">
        <v>9</v>
      </c>
      <c r="K49" s="213"/>
      <c r="M49" s="326"/>
      <c r="N49" s="257"/>
      <c r="O49" s="257"/>
      <c r="P49" s="257"/>
      <c r="Q49" s="257"/>
      <c r="R49" s="257"/>
      <c r="S49" s="257"/>
      <c r="T49" s="258"/>
      <c r="U49" s="256"/>
      <c r="V49" s="277"/>
      <c r="W49" s="326"/>
    </row>
    <row r="50" spans="2:23" ht="27.95" customHeight="1" x14ac:dyDescent="0.25">
      <c r="B50" s="212"/>
      <c r="C50" s="593" t="str">
        <f>IF($O$53&gt;0,"",IF(O$68="n/a","",IF(O$68&gt;=0.5,"Probable Success",IF(O$68&gt;=-0.1,"Questionable","Failure Imminent"))))</f>
        <v/>
      </c>
      <c r="D50" s="593" t="str">
        <f>IF($O$53&gt;0,"",IF(P$68="n/a","",IF(P$68&gt;=0.5,"Probable Success",IF(P$68&gt;=-0.1,"Questionable","Failure Imminent"))))</f>
        <v/>
      </c>
      <c r="E50" s="593" t="str">
        <f>IF($O$53&gt;0,"",IF(Q$68="n/a","",IF(Q$68&gt;=0.5,"Probable Success",IF(Q$68&gt;=-0.1,"Questionable","Failure Imminent"))))</f>
        <v/>
      </c>
      <c r="F50" s="214"/>
      <c r="G50" s="249"/>
      <c r="H50" s="593" t="str">
        <f>IF($O$53&gt;0,"",IF(O$69="n/a","",IF(O$69&gt;=0.5,"Probable Success",IF(O$69&gt;=-0.1,"Questionable","Failure Imminent"))))</f>
        <v/>
      </c>
      <c r="I50" s="593" t="str">
        <f>IF($O$53&gt;0,"",IF(P$69="n/a","",IF(P$69&gt;=0.5,"Probable Success",IF(P$69&gt;=-0.1,"Questionable","Failure Imminent"))))</f>
        <v/>
      </c>
      <c r="J50" s="593" t="str">
        <f>IF($O$53&gt;0,"",IF(Q$69="n/a","",IF(Q$69&gt;=0.5,"Probable Success",IF(Q$69&gt;=-0.1,"Questionable","Failure Imminent"))))</f>
        <v/>
      </c>
      <c r="K50" s="213"/>
      <c r="M50" s="326"/>
      <c r="N50" s="257"/>
      <c r="O50" s="257"/>
      <c r="P50" s="257"/>
      <c r="Q50" s="257"/>
      <c r="R50" s="257"/>
      <c r="S50" s="257"/>
      <c r="T50" s="258"/>
      <c r="U50" s="256"/>
      <c r="V50" s="277"/>
      <c r="W50" s="326"/>
    </row>
    <row r="51" spans="2:23" ht="7.5" customHeight="1" thickBot="1" x14ac:dyDescent="0.3">
      <c r="B51" s="215"/>
      <c r="C51" s="216"/>
      <c r="D51" s="216"/>
      <c r="E51" s="216"/>
      <c r="F51" s="216"/>
      <c r="G51" s="252"/>
      <c r="H51" s="216"/>
      <c r="I51" s="216"/>
      <c r="J51" s="216"/>
      <c r="K51" s="217"/>
      <c r="M51" s="326"/>
      <c r="N51" s="257"/>
      <c r="O51" s="257"/>
      <c r="P51" s="257"/>
      <c r="Q51" s="257"/>
      <c r="R51" s="257"/>
      <c r="S51" s="257"/>
      <c r="T51" s="258"/>
      <c r="U51" s="256"/>
      <c r="V51" s="277"/>
      <c r="W51" s="326"/>
    </row>
    <row r="52" spans="2:23" ht="32.25" thickTop="1" x14ac:dyDescent="0.25">
      <c r="M52" s="326"/>
      <c r="N52" s="253"/>
      <c r="O52" s="253"/>
      <c r="P52" s="253"/>
      <c r="Q52" s="254" t="s">
        <v>10</v>
      </c>
      <c r="R52" s="253"/>
      <c r="S52" s="253"/>
      <c r="T52" s="255"/>
      <c r="U52" s="256"/>
      <c r="V52" s="277"/>
      <c r="W52" s="326"/>
    </row>
    <row r="53" spans="2:23" x14ac:dyDescent="0.25">
      <c r="M53" s="326"/>
      <c r="N53" s="259" t="s">
        <v>11</v>
      </c>
      <c r="O53" s="361">
        <f>COUNTIF(B4:B35,"*** ")</f>
        <v>11</v>
      </c>
      <c r="P53" s="260"/>
      <c r="Q53" s="260"/>
      <c r="R53" s="260"/>
      <c r="S53" s="260"/>
      <c r="T53" s="261"/>
      <c r="U53" s="262"/>
      <c r="V53" s="277"/>
      <c r="W53" s="326"/>
    </row>
    <row r="54" spans="2:23" x14ac:dyDescent="0.25">
      <c r="M54" s="326"/>
      <c r="N54" s="260"/>
      <c r="O54" s="260"/>
      <c r="P54" s="260"/>
      <c r="Q54" s="260"/>
      <c r="R54" s="260"/>
      <c r="S54" s="260"/>
      <c r="T54" s="261"/>
      <c r="U54" s="262"/>
      <c r="V54" s="277"/>
      <c r="W54" s="326"/>
    </row>
    <row r="55" spans="2:23" ht="24.75" x14ac:dyDescent="0.25">
      <c r="M55" s="326"/>
      <c r="N55" s="263" t="s">
        <v>541</v>
      </c>
      <c r="O55" s="263"/>
      <c r="P55" s="263" t="s">
        <v>530</v>
      </c>
      <c r="Q55" s="263" t="s">
        <v>531</v>
      </c>
      <c r="R55" s="263" t="s">
        <v>497</v>
      </c>
      <c r="S55" s="263" t="s">
        <v>498</v>
      </c>
      <c r="T55" s="263" t="s">
        <v>499</v>
      </c>
      <c r="U55" s="262"/>
      <c r="V55" s="277"/>
      <c r="W55" s="326"/>
    </row>
    <row r="56" spans="2:23" x14ac:dyDescent="0.25">
      <c r="M56" s="326"/>
      <c r="N56" s="363">
        <f>IF($J$4="",0,IF(VLOOKUP($J$4,'Kingdom Traits Matrix'!$D$4:$AK$27,2,FALSE)="●",0.05,0))</f>
        <v>0</v>
      </c>
      <c r="O56" s="264"/>
      <c r="P56" s="364">
        <f>IF($J$4="",0,IF(VLOOKUP($J$4,'Kingdom Traits Matrix'!$D$4:$AK$27,6,FALSE)="●",0.15,0))</f>
        <v>0</v>
      </c>
      <c r="Q56" s="368">
        <f>IF($J$4="",0,IF(VLOOKUP($J$4,'Kingdom Traits Matrix'!$D$4:$AK$27,16,FALSE)="●",0.15,0))</f>
        <v>0</v>
      </c>
      <c r="R56" s="365">
        <f>IF($J$6="",0,VLOOKUP($J$6,$U$97:$V$102,2,FALSE))</f>
        <v>0</v>
      </c>
      <c r="S56" s="369">
        <f>IF($J$8="",0,$J$8)</f>
        <v>0</v>
      </c>
      <c r="T56" s="265">
        <f>IF($J$10="",0,VLOOKUP($J$10,$R$105:$S$108,2,FALSE))</f>
        <v>0</v>
      </c>
      <c r="U56" s="262"/>
      <c r="V56" s="277"/>
      <c r="W56" s="326"/>
    </row>
    <row r="57" spans="2:23" x14ac:dyDescent="0.25">
      <c r="M57" s="326"/>
      <c r="N57" s="260"/>
      <c r="O57" s="260"/>
      <c r="P57" s="260"/>
      <c r="Q57" s="260"/>
      <c r="R57" s="260"/>
      <c r="S57" s="260"/>
      <c r="T57" s="261"/>
      <c r="U57" s="262"/>
      <c r="V57" s="277"/>
      <c r="W57" s="326"/>
    </row>
    <row r="58" spans="2:23" ht="24.75" x14ac:dyDescent="0.25">
      <c r="M58" s="326"/>
      <c r="N58" s="263" t="s">
        <v>536</v>
      </c>
      <c r="O58" s="263" t="s">
        <v>535</v>
      </c>
      <c r="P58" s="263" t="s">
        <v>547</v>
      </c>
      <c r="Q58" s="263" t="s">
        <v>534</v>
      </c>
      <c r="R58" s="263" t="s">
        <v>532</v>
      </c>
      <c r="S58" s="263" t="s">
        <v>533</v>
      </c>
      <c r="T58" s="263" t="s">
        <v>540</v>
      </c>
      <c r="U58" s="262"/>
      <c r="V58" s="277"/>
      <c r="W58" s="326"/>
    </row>
    <row r="59" spans="2:23" x14ac:dyDescent="0.25">
      <c r="M59" s="326"/>
      <c r="N59" s="372">
        <f>IF($J$15="",0,VLOOKUP($J$15,$U$90:$V$92,2,FALSE))</f>
        <v>0</v>
      </c>
      <c r="O59" s="373">
        <f>IF($J$17="",0,IF($J$17="Neutral",1,2))</f>
        <v>0</v>
      </c>
      <c r="P59" s="372">
        <f>IF($J$17="",0,IF($J$17="Neutral",1,IF($J$17="Human",1,VLOOKUP($J$21,$S$90:$T$93,2,FALSE))))</f>
        <v>0</v>
      </c>
      <c r="Q59" s="372">
        <f>IF($J$17="",0,IF($J$17="Neutral",1,IF($J$17="Human",1,VLOOKUP($J$23,$R$105:$T$108,3,FALSE))))</f>
        <v>0</v>
      </c>
      <c r="R59" s="375">
        <f>IF($I$25="",0,$R$78+$T$72+$T$75)</f>
        <v>0</v>
      </c>
      <c r="S59" s="385">
        <f>IF($I$35="",0,$R$87)</f>
        <v>0</v>
      </c>
      <c r="T59" s="370">
        <f>IF($J$17="Human",1,IF($J$17="Neutral",1,IF($J$19="",0,IF($J$19="No",1,0))))</f>
        <v>0</v>
      </c>
      <c r="U59" s="262"/>
      <c r="V59" s="277"/>
      <c r="W59" s="326"/>
    </row>
    <row r="60" spans="2:23" x14ac:dyDescent="0.25">
      <c r="M60" s="326"/>
      <c r="N60" s="260"/>
      <c r="O60" s="260"/>
      <c r="P60" s="260"/>
      <c r="Q60" s="260"/>
      <c r="R60" s="260"/>
      <c r="S60" s="260"/>
      <c r="T60" s="261"/>
      <c r="U60" s="262"/>
      <c r="V60" s="277"/>
      <c r="W60" s="326"/>
    </row>
    <row r="61" spans="2:23" x14ac:dyDescent="0.25">
      <c r="M61" s="326"/>
      <c r="N61" s="266" t="s">
        <v>500</v>
      </c>
      <c r="O61" s="363">
        <f>0.85+$N$56</f>
        <v>0.85</v>
      </c>
      <c r="P61" s="363">
        <f>1+$N$56</f>
        <v>1</v>
      </c>
      <c r="Q61" s="363">
        <v>1.1499999999999999</v>
      </c>
      <c r="R61" s="260"/>
      <c r="S61" s="260"/>
      <c r="T61" s="261"/>
      <c r="U61" s="262"/>
      <c r="V61" s="277"/>
      <c r="W61" s="326"/>
    </row>
    <row r="62" spans="2:23" x14ac:dyDescent="0.25">
      <c r="M62" s="326"/>
      <c r="N62" s="267" t="s">
        <v>501</v>
      </c>
      <c r="O62" s="366">
        <f>($R$56+$P$56)*($S$56)*(O$61)*($T$59)</f>
        <v>0</v>
      </c>
      <c r="P62" s="366">
        <f>($R$56+$P$56)*($S$56)*(P$61)*($T$59)</f>
        <v>0</v>
      </c>
      <c r="Q62" s="366">
        <f>($R$56+$P$56)*($S$56)*(Q$61)*($T$59)</f>
        <v>0</v>
      </c>
      <c r="R62" s="260"/>
      <c r="S62" s="260"/>
      <c r="T62" s="261"/>
      <c r="U62" s="262"/>
      <c r="V62" s="277"/>
      <c r="W62" s="326"/>
    </row>
    <row r="63" spans="2:23" x14ac:dyDescent="0.25">
      <c r="M63" s="326"/>
      <c r="N63" s="267" t="s">
        <v>502</v>
      </c>
      <c r="O63" s="367">
        <f>($R$56+$Q$56)*($S$56)*(O$61)*($T$59)</f>
        <v>0</v>
      </c>
      <c r="P63" s="367">
        <f>($R$56+$Q$56)*($S$56)*(P$61)*($T$59)</f>
        <v>0</v>
      </c>
      <c r="Q63" s="367">
        <f>($R$56+$Q$56)*($S$56)*(Q$61)*($T$59)</f>
        <v>0</v>
      </c>
      <c r="R63" s="260"/>
      <c r="S63" s="260"/>
      <c r="T63" s="261"/>
      <c r="U63" s="262"/>
      <c r="V63" s="277"/>
      <c r="W63" s="326"/>
    </row>
    <row r="64" spans="2:23" x14ac:dyDescent="0.25">
      <c r="M64" s="326"/>
      <c r="N64" s="261"/>
      <c r="O64" s="261"/>
      <c r="P64" s="261"/>
      <c r="Q64" s="261"/>
      <c r="R64" s="260"/>
      <c r="S64" s="260"/>
      <c r="T64" s="261"/>
      <c r="U64" s="262"/>
      <c r="V64" s="277"/>
      <c r="W64" s="326"/>
    </row>
    <row r="65" spans="13:23" x14ac:dyDescent="0.25">
      <c r="M65" s="326"/>
      <c r="N65" s="259" t="s">
        <v>14</v>
      </c>
      <c r="O65" s="371">
        <f>($N$59)*($T$56)*($P$59)*($Q$59)</f>
        <v>0</v>
      </c>
      <c r="P65" s="260"/>
      <c r="Q65" s="260"/>
      <c r="R65" s="260"/>
      <c r="S65" s="260"/>
      <c r="T65" s="261"/>
      <c r="U65" s="262"/>
      <c r="V65" s="277"/>
      <c r="W65" s="326"/>
    </row>
    <row r="66" spans="13:23" x14ac:dyDescent="0.25">
      <c r="M66" s="326"/>
      <c r="N66" s="260"/>
      <c r="O66" s="260"/>
      <c r="P66" s="260"/>
      <c r="Q66" s="260"/>
      <c r="R66" s="260"/>
      <c r="S66" s="260"/>
      <c r="T66" s="261"/>
      <c r="U66" s="262"/>
      <c r="V66" s="277"/>
      <c r="W66" s="326"/>
    </row>
    <row r="67" spans="13:23" x14ac:dyDescent="0.25">
      <c r="M67" s="326"/>
      <c r="N67" s="266" t="s">
        <v>503</v>
      </c>
      <c r="O67" s="260"/>
      <c r="P67" s="260"/>
      <c r="Q67" s="260"/>
      <c r="R67" s="260"/>
      <c r="S67" s="260"/>
      <c r="T67" s="261"/>
      <c r="U67" s="262"/>
      <c r="V67" s="277"/>
      <c r="W67" s="326"/>
    </row>
    <row r="68" spans="13:23" x14ac:dyDescent="0.25">
      <c r="M68" s="326"/>
      <c r="N68" s="267" t="s">
        <v>504</v>
      </c>
      <c r="O68" s="374" t="str">
        <f>IF($O$59=2,O$62-($O$65+$R$59-$S$59),IF($O$59=1,O$63-($O$65+$R$59-$S$59),"n/a"))</f>
        <v>n/a</v>
      </c>
      <c r="P68" s="374" t="str">
        <f>IF($O$59=2,P$62-($O$65+$R$59-$S$59),IF($O$59=1,P$63-($O$65+$R$59-$S$59),"n/a"))</f>
        <v>n/a</v>
      </c>
      <c r="Q68" s="374" t="str">
        <f>IF($O$59=2,Q$62-($O$65+$R$59-$S$59),IF($O$59=1,Q$63-($O$65+$R$59-$S$59),"n/a"))</f>
        <v>n/a</v>
      </c>
      <c r="R68" s="260"/>
      <c r="S68" s="260"/>
      <c r="T68" s="261"/>
      <c r="U68" s="262"/>
      <c r="V68" s="277"/>
      <c r="W68" s="326"/>
    </row>
    <row r="69" spans="13:23" x14ac:dyDescent="0.25">
      <c r="M69" s="326"/>
      <c r="N69" s="267" t="s">
        <v>505</v>
      </c>
      <c r="O69" s="374" t="str">
        <f>IF($O$59=2,O$63-(($O$65*2)+$R$59-$S$59),"n/a")</f>
        <v>n/a</v>
      </c>
      <c r="P69" s="374" t="str">
        <f>IF($O$59=2,P$63-(($O$65*2)+$R$59-$S$59),"n/a")</f>
        <v>n/a</v>
      </c>
      <c r="Q69" s="374" t="str">
        <f>IF($O$59=2,Q$63-(($O$65*2)+$R$59-$S$59),"n/a")</f>
        <v>n/a</v>
      </c>
      <c r="R69" s="260"/>
      <c r="S69" s="260"/>
      <c r="T69" s="261"/>
      <c r="U69" s="262"/>
      <c r="V69" s="277"/>
      <c r="W69" s="326"/>
    </row>
    <row r="70" spans="13:23" x14ac:dyDescent="0.25">
      <c r="M70" s="326"/>
      <c r="N70" s="261"/>
      <c r="O70" s="261"/>
      <c r="P70" s="261"/>
      <c r="Q70" s="261"/>
      <c r="R70" s="260"/>
      <c r="S70" s="270"/>
      <c r="T70" s="261"/>
      <c r="U70" s="262"/>
      <c r="V70" s="277"/>
      <c r="W70" s="326"/>
    </row>
    <row r="71" spans="13:23" x14ac:dyDescent="0.25">
      <c r="M71" s="326"/>
      <c r="N71" s="268" t="s">
        <v>506</v>
      </c>
      <c r="O71" s="268" t="s">
        <v>528</v>
      </c>
      <c r="P71" s="268" t="s">
        <v>526</v>
      </c>
      <c r="Q71" s="268" t="s">
        <v>30</v>
      </c>
      <c r="R71" s="268" t="s">
        <v>507</v>
      </c>
      <c r="S71" s="274"/>
      <c r="T71" s="263" t="s">
        <v>210</v>
      </c>
      <c r="U71" s="256"/>
      <c r="V71" s="277"/>
      <c r="W71" s="326"/>
    </row>
    <row r="72" spans="13:23" x14ac:dyDescent="0.25">
      <c r="M72" s="326"/>
      <c r="N72" s="376">
        <f>IF($K28="",0,1)</f>
        <v>0</v>
      </c>
      <c r="O72" s="377" t="s">
        <v>548</v>
      </c>
      <c r="P72" s="378">
        <f>IF($I$25="",0,IF($N72=0,0,IF(VLOOKUP($G28,'Kingdom Traits Matrix'!$D$4:$AK$27,16,FALSE)="●",0.15,0)))</f>
        <v>0</v>
      </c>
      <c r="Q72" s="378">
        <f>IF($I$25="",0,IF($I$25="No",0,IF($H28="",0,VLOOKUP($H28,$U$97:$V$102,2,FALSE))))</f>
        <v>0</v>
      </c>
      <c r="R72" s="378">
        <f>($P72+$Q72)*$I28/IF($J28="",4,VLOOKUP($J28,$R$105:$S$108,2,FALSE))</f>
        <v>0</v>
      </c>
      <c r="S72" s="274"/>
      <c r="T72" s="380">
        <f>IF($J$17="",0,IF($J$17="Neutral",0,IF($J$17="Human",0,IF(VLOOKUP($J$17,'Kingdom Traits Matrix'!$D$4:$AK$27,17,FALSE)="●",2,0))))</f>
        <v>0</v>
      </c>
      <c r="U72" s="256"/>
      <c r="V72" s="277"/>
      <c r="W72" s="326"/>
    </row>
    <row r="73" spans="13:23" x14ac:dyDescent="0.25">
      <c r="M73" s="326"/>
      <c r="N73" s="376">
        <f t="shared" ref="N73:N76" si="3">IF($K29="",0,1)</f>
        <v>0</v>
      </c>
      <c r="O73" s="377" t="s">
        <v>548</v>
      </c>
      <c r="P73" s="378">
        <f>IF($I$25="",0,IF($N73=0,0,IF(VLOOKUP($G29,'Kingdom Traits Matrix'!$D$4:$AK$27,16,FALSE)="●",0.15,0)))</f>
        <v>0</v>
      </c>
      <c r="Q73" s="378">
        <f t="shared" ref="Q73:Q76" si="4">IF($I$25="",0,IF($I$25="No",0,IF($H29="",0,VLOOKUP($H29,$U$97:$V$102,2,FALSE))))</f>
        <v>0</v>
      </c>
      <c r="R73" s="378">
        <f t="shared" ref="R73:R76" si="5">($P73+$Q73)*$I29/IF($J29="",4,VLOOKUP($J29,$R$105:$S$108,2,FALSE))</f>
        <v>0</v>
      </c>
      <c r="S73" s="274"/>
      <c r="T73" s="270"/>
      <c r="U73" s="256"/>
      <c r="V73" s="277"/>
      <c r="W73" s="326"/>
    </row>
    <row r="74" spans="13:23" x14ac:dyDescent="0.25">
      <c r="M74" s="326"/>
      <c r="N74" s="376">
        <f t="shared" si="3"/>
        <v>0</v>
      </c>
      <c r="O74" s="377" t="s">
        <v>548</v>
      </c>
      <c r="P74" s="378">
        <f>IF($I$25="",0,IF($N74=0,0,IF(VLOOKUP($G30,'Kingdom Traits Matrix'!$D$4:$AK$27,16,FALSE)="●",0.15,0)))</f>
        <v>0</v>
      </c>
      <c r="Q74" s="378">
        <f t="shared" si="4"/>
        <v>0</v>
      </c>
      <c r="R74" s="378">
        <f t="shared" si="5"/>
        <v>0</v>
      </c>
      <c r="S74" s="274"/>
      <c r="T74" s="263" t="s">
        <v>215</v>
      </c>
      <c r="U74" s="256"/>
      <c r="V74" s="277"/>
      <c r="W74" s="326"/>
    </row>
    <row r="75" spans="13:23" x14ac:dyDescent="0.25">
      <c r="M75" s="326"/>
      <c r="N75" s="376">
        <f t="shared" si="3"/>
        <v>0</v>
      </c>
      <c r="O75" s="377" t="s">
        <v>548</v>
      </c>
      <c r="P75" s="378">
        <f>IF($I$25="",0,IF($N75=0,0,IF(VLOOKUP($G31,'Kingdom Traits Matrix'!$D$4:$AK$27,16,FALSE)="●",0.15,0)))</f>
        <v>0</v>
      </c>
      <c r="Q75" s="378">
        <f t="shared" si="4"/>
        <v>0</v>
      </c>
      <c r="R75" s="378">
        <f t="shared" si="5"/>
        <v>0</v>
      </c>
      <c r="S75" s="257"/>
      <c r="T75" s="375">
        <f>IF($J$17="",0,IF($J$17="Neutral",0,IF($J$17="Human",0,IF(VLOOKUP($J$17,'Kingdom Traits Matrix'!$D$4:$AK$27,20,FALSE)="●",2,0))))</f>
        <v>0</v>
      </c>
      <c r="U75" s="256"/>
      <c r="V75" s="277"/>
      <c r="W75" s="326"/>
    </row>
    <row r="76" spans="13:23" x14ac:dyDescent="0.25">
      <c r="M76" s="326"/>
      <c r="N76" s="376">
        <f t="shared" si="3"/>
        <v>0</v>
      </c>
      <c r="O76" s="377" t="s">
        <v>548</v>
      </c>
      <c r="P76" s="378">
        <f>IF($I$25="",0,IF($N76=0,0,IF(VLOOKUP($G32,'Kingdom Traits Matrix'!$D$4:$AK$27,16,FALSE)="●",0.15,0)))</f>
        <v>0</v>
      </c>
      <c r="Q76" s="378">
        <f t="shared" si="4"/>
        <v>0</v>
      </c>
      <c r="R76" s="378">
        <f t="shared" si="5"/>
        <v>0</v>
      </c>
      <c r="S76" s="257"/>
      <c r="T76" s="258"/>
      <c r="U76" s="256"/>
      <c r="V76" s="277"/>
      <c r="W76" s="326"/>
    </row>
    <row r="77" spans="13:23" x14ac:dyDescent="0.25">
      <c r="M77" s="326"/>
      <c r="N77" s="288"/>
      <c r="O77" s="288"/>
      <c r="P77" s="288"/>
      <c r="Q77" s="288"/>
      <c r="R77" s="288"/>
      <c r="S77" s="257"/>
      <c r="T77" s="258"/>
      <c r="U77" s="256"/>
      <c r="V77" s="277"/>
      <c r="W77" s="326"/>
    </row>
    <row r="78" spans="13:23" x14ac:dyDescent="0.25">
      <c r="M78" s="326"/>
      <c r="N78" s="362">
        <f>SUM(N72:N76)</f>
        <v>0</v>
      </c>
      <c r="O78" s="289"/>
      <c r="P78" s="289"/>
      <c r="Q78" s="289"/>
      <c r="R78" s="379">
        <f>IF($N$78=0,0,IF($I$25="Yes",SUM($R$72:$R$76),0))</f>
        <v>0</v>
      </c>
      <c r="S78" s="260"/>
      <c r="T78" s="260"/>
      <c r="U78" s="260"/>
      <c r="V78" s="277"/>
      <c r="W78" s="326"/>
    </row>
    <row r="79" spans="13:23" x14ac:dyDescent="0.25">
      <c r="M79" s="326"/>
      <c r="N79" s="260"/>
      <c r="O79" s="260"/>
      <c r="P79" s="260"/>
      <c r="Q79" s="260"/>
      <c r="R79" s="260"/>
      <c r="S79" s="260"/>
      <c r="T79" s="260"/>
      <c r="U79" s="262"/>
      <c r="V79" s="277"/>
      <c r="W79" s="326"/>
    </row>
    <row r="80" spans="13:23" x14ac:dyDescent="0.25">
      <c r="M80" s="326"/>
      <c r="N80" s="268" t="s">
        <v>525</v>
      </c>
      <c r="O80" s="268" t="s">
        <v>529</v>
      </c>
      <c r="P80" s="268" t="s">
        <v>217</v>
      </c>
      <c r="Q80" s="268" t="s">
        <v>30</v>
      </c>
      <c r="R80" s="268" t="s">
        <v>524</v>
      </c>
      <c r="S80" s="260"/>
      <c r="T80" s="260"/>
      <c r="U80" s="262"/>
      <c r="V80" s="277"/>
      <c r="W80" s="326"/>
    </row>
    <row r="81" spans="13:23" x14ac:dyDescent="0.25">
      <c r="M81" s="326"/>
      <c r="N81" s="381">
        <f>IF($K38="",0,1)</f>
        <v>0</v>
      </c>
      <c r="O81" s="382" t="s">
        <v>548</v>
      </c>
      <c r="P81" s="383">
        <f>IF($I$35="",0,IF($N81=0,0,IF(VLOOKUP($G38,'Kingdom Traits Matrix'!$D$4:$AK$27,6,FALSE)="●",0.15,0)))</f>
        <v>0</v>
      </c>
      <c r="Q81" s="383">
        <f>IF($I$35="",0,IF($I$35="No",0,IF($H38="",0,VLOOKUP($H38,$U$97:$V$102,2,FALSE))))</f>
        <v>0</v>
      </c>
      <c r="R81" s="383">
        <f>($P81+$Q81)*$I38/IF($J38="",4,VLOOKUP($J38,$R$105:$S$108,2,FALSE))</f>
        <v>0</v>
      </c>
      <c r="S81" s="260"/>
      <c r="T81" s="260"/>
      <c r="U81" s="262"/>
      <c r="V81" s="277"/>
      <c r="W81" s="326"/>
    </row>
    <row r="82" spans="13:23" x14ac:dyDescent="0.25">
      <c r="M82" s="326"/>
      <c r="N82" s="381">
        <f t="shared" ref="N82:N85" si="6">IF($K39="",0,1)</f>
        <v>0</v>
      </c>
      <c r="O82" s="382" t="s">
        <v>548</v>
      </c>
      <c r="P82" s="383">
        <f>IF($I$35="",0,IF($N82=0,0,IF(VLOOKUP($G39,'Kingdom Traits Matrix'!$D$4:$AK$27,6,FALSE)="●",0.15,0)))</f>
        <v>0</v>
      </c>
      <c r="Q82" s="383">
        <f t="shared" ref="Q82:Q85" si="7">IF($I$35="",0,IF($I$35="No",0,IF($H39="",0,VLOOKUP($H39,$U$97:$V$102,2,FALSE))))</f>
        <v>0</v>
      </c>
      <c r="R82" s="383">
        <f t="shared" ref="R82:R85" si="8">($P82+$Q82)*$I39/IF($J39="",4,VLOOKUP($J39,$R$105:$S$108,2,FALSE))</f>
        <v>0</v>
      </c>
      <c r="S82" s="260"/>
      <c r="T82" s="260"/>
      <c r="U82" s="262"/>
      <c r="V82" s="277"/>
      <c r="W82" s="326"/>
    </row>
    <row r="83" spans="13:23" x14ac:dyDescent="0.25">
      <c r="M83" s="326"/>
      <c r="N83" s="381">
        <f t="shared" si="6"/>
        <v>0</v>
      </c>
      <c r="O83" s="382" t="s">
        <v>548</v>
      </c>
      <c r="P83" s="383">
        <f>IF($I$35="",0,IF($N83=0,0,IF(VLOOKUP($G40,'Kingdom Traits Matrix'!$D$4:$AK$27,6,FALSE)="●",0.15,0)))</f>
        <v>0</v>
      </c>
      <c r="Q83" s="383">
        <f t="shared" si="7"/>
        <v>0</v>
      </c>
      <c r="R83" s="383">
        <f t="shared" si="8"/>
        <v>0</v>
      </c>
      <c r="S83" s="260"/>
      <c r="T83" s="260"/>
      <c r="U83" s="262"/>
      <c r="V83" s="277"/>
      <c r="W83" s="326"/>
    </row>
    <row r="84" spans="13:23" x14ac:dyDescent="0.25">
      <c r="M84" s="326"/>
      <c r="N84" s="381">
        <f t="shared" si="6"/>
        <v>0</v>
      </c>
      <c r="O84" s="382" t="s">
        <v>548</v>
      </c>
      <c r="P84" s="383">
        <f>IF($I$35="",0,IF($N84=0,0,IF(VLOOKUP($G41,'Kingdom Traits Matrix'!$D$4:$AK$27,6,FALSE)="●",0.15,0)))</f>
        <v>0</v>
      </c>
      <c r="Q84" s="383">
        <f t="shared" si="7"/>
        <v>0</v>
      </c>
      <c r="R84" s="383">
        <f t="shared" si="8"/>
        <v>0</v>
      </c>
      <c r="S84" s="260"/>
      <c r="T84" s="260"/>
      <c r="U84" s="262"/>
      <c r="V84" s="277"/>
      <c r="W84" s="326"/>
    </row>
    <row r="85" spans="13:23" x14ac:dyDescent="0.25">
      <c r="M85" s="326"/>
      <c r="N85" s="381">
        <f t="shared" si="6"/>
        <v>0</v>
      </c>
      <c r="O85" s="382" t="s">
        <v>548</v>
      </c>
      <c r="P85" s="383">
        <f>IF($I$35="",0,IF($N85=0,0,IF(VLOOKUP($G42,'Kingdom Traits Matrix'!$D$4:$AK$27,6,FALSE)="●",0.15,0)))</f>
        <v>0</v>
      </c>
      <c r="Q85" s="383">
        <f t="shared" si="7"/>
        <v>0</v>
      </c>
      <c r="R85" s="383">
        <f t="shared" si="8"/>
        <v>0</v>
      </c>
      <c r="S85" s="260"/>
      <c r="T85" s="260"/>
      <c r="U85" s="262"/>
      <c r="V85" s="277"/>
      <c r="W85" s="326"/>
    </row>
    <row r="86" spans="13:23" x14ac:dyDescent="0.25">
      <c r="M86" s="326"/>
      <c r="N86" s="288"/>
      <c r="O86" s="288"/>
      <c r="P86" s="288"/>
      <c r="Q86" s="288"/>
      <c r="R86" s="288"/>
      <c r="S86" s="260"/>
      <c r="T86" s="260"/>
      <c r="U86" s="262"/>
      <c r="V86" s="277"/>
      <c r="W86" s="326"/>
    </row>
    <row r="87" spans="13:23" x14ac:dyDescent="0.25">
      <c r="M87" s="326"/>
      <c r="N87" s="362">
        <f>SUM(N81:N85)</f>
        <v>0</v>
      </c>
      <c r="O87" s="289"/>
      <c r="P87" s="289"/>
      <c r="Q87" s="289"/>
      <c r="R87" s="384">
        <f>IF($N$87=0,0,IF($I$35="Yes",SUM($R$81:$R$85),0))</f>
        <v>0</v>
      </c>
      <c r="S87" s="260"/>
      <c r="T87" s="260"/>
      <c r="U87" s="262"/>
      <c r="V87" s="277"/>
      <c r="W87" s="326"/>
    </row>
    <row r="88" spans="13:23" x14ac:dyDescent="0.25">
      <c r="M88" s="326"/>
      <c r="N88" s="260"/>
      <c r="O88" s="260"/>
      <c r="P88" s="260"/>
      <c r="Q88" s="260"/>
      <c r="R88" s="260"/>
      <c r="S88" s="260"/>
      <c r="T88" s="260"/>
      <c r="U88" s="262"/>
      <c r="V88" s="277"/>
      <c r="W88" s="326"/>
    </row>
    <row r="89" spans="13:23" x14ac:dyDescent="0.25">
      <c r="M89" s="326"/>
      <c r="N89" s="259" t="s">
        <v>509</v>
      </c>
      <c r="O89" s="279" t="s">
        <v>244</v>
      </c>
      <c r="P89" s="279" t="s">
        <v>516</v>
      </c>
      <c r="Q89" s="280" t="s">
        <v>517</v>
      </c>
      <c r="R89" s="259" t="s">
        <v>540</v>
      </c>
      <c r="S89" s="259" t="s">
        <v>20</v>
      </c>
      <c r="T89" s="280" t="s">
        <v>544</v>
      </c>
      <c r="U89" s="259" t="s">
        <v>510</v>
      </c>
      <c r="V89" s="280" t="s">
        <v>543</v>
      </c>
      <c r="W89" s="326"/>
    </row>
    <row r="90" spans="13:23" x14ac:dyDescent="0.25">
      <c r="M90" s="326"/>
      <c r="N90" s="274" t="s">
        <v>25</v>
      </c>
      <c r="O90" s="270"/>
      <c r="P90" s="270"/>
      <c r="Q90" s="281"/>
      <c r="R90" s="274" t="s">
        <v>31</v>
      </c>
      <c r="S90" s="274" t="s">
        <v>372</v>
      </c>
      <c r="T90" s="292">
        <v>1.1499999999999999</v>
      </c>
      <c r="U90" s="274" t="s">
        <v>512</v>
      </c>
      <c r="V90" s="294">
        <v>6.6</v>
      </c>
      <c r="W90" s="326"/>
    </row>
    <row r="91" spans="13:23" x14ac:dyDescent="0.25">
      <c r="M91" s="326"/>
      <c r="N91" s="274" t="s">
        <v>208</v>
      </c>
      <c r="O91" s="270"/>
      <c r="P91" s="270"/>
      <c r="Q91" s="281"/>
      <c r="R91" s="269" t="s">
        <v>6</v>
      </c>
      <c r="S91" s="274" t="s">
        <v>373</v>
      </c>
      <c r="T91" s="292">
        <v>1</v>
      </c>
      <c r="U91" s="274" t="s">
        <v>513</v>
      </c>
      <c r="V91" s="294">
        <v>2.8</v>
      </c>
      <c r="W91" s="326"/>
    </row>
    <row r="92" spans="13:23" x14ac:dyDescent="0.25">
      <c r="M92" s="326"/>
      <c r="N92" s="282" t="s">
        <v>36</v>
      </c>
      <c r="O92" s="270" t="s">
        <v>35</v>
      </c>
      <c r="P92" s="283" t="str">
        <f>IF($I$25="","",IF($I$25="No","n/a",$N92))</f>
        <v/>
      </c>
      <c r="Q92" s="284" t="str">
        <f>IF($I$35="","",IF($I$35="No","n/a",$N92))</f>
        <v/>
      </c>
      <c r="R92" s="260"/>
      <c r="S92" s="274" t="s">
        <v>374</v>
      </c>
      <c r="T92" s="292">
        <v>1</v>
      </c>
      <c r="U92" s="269" t="s">
        <v>514</v>
      </c>
      <c r="V92" s="295">
        <v>1.4</v>
      </c>
      <c r="W92" s="326"/>
    </row>
    <row r="93" spans="13:23" x14ac:dyDescent="0.25">
      <c r="M93" s="326"/>
      <c r="N93" s="274" t="s">
        <v>38</v>
      </c>
      <c r="O93" s="270" t="s">
        <v>37</v>
      </c>
      <c r="P93" s="283" t="str">
        <f t="shared" ref="P93:P115" si="9">IF($I$25="","",IF($I$25="No","n/a",$N93))</f>
        <v/>
      </c>
      <c r="Q93" s="284" t="str">
        <f t="shared" ref="Q93:Q115" si="10">IF($I$35="","",IF($I$35="No","n/a",$N93))</f>
        <v/>
      </c>
      <c r="R93" s="260"/>
      <c r="S93" s="269" t="s">
        <v>437</v>
      </c>
      <c r="T93" s="293">
        <v>0.85</v>
      </c>
      <c r="U93" s="260"/>
      <c r="V93" s="277"/>
      <c r="W93" s="326"/>
    </row>
    <row r="94" spans="13:23" x14ac:dyDescent="0.25">
      <c r="M94" s="326"/>
      <c r="N94" s="274" t="s">
        <v>40</v>
      </c>
      <c r="O94" s="270" t="s">
        <v>39</v>
      </c>
      <c r="P94" s="283" t="str">
        <f t="shared" si="9"/>
        <v/>
      </c>
      <c r="Q94" s="284" t="str">
        <f t="shared" si="10"/>
        <v/>
      </c>
      <c r="R94" s="260"/>
      <c r="S94" s="260"/>
      <c r="T94" s="260"/>
      <c r="U94" s="260"/>
      <c r="V94" s="277"/>
      <c r="W94" s="326"/>
    </row>
    <row r="95" spans="13:23" x14ac:dyDescent="0.25">
      <c r="M95" s="326"/>
      <c r="N95" s="274" t="s">
        <v>44</v>
      </c>
      <c r="O95" s="270" t="s">
        <v>43</v>
      </c>
      <c r="P95" s="283" t="str">
        <f t="shared" si="9"/>
        <v/>
      </c>
      <c r="Q95" s="284" t="str">
        <f t="shared" si="10"/>
        <v/>
      </c>
      <c r="R95" s="260"/>
      <c r="S95" s="260"/>
      <c r="T95" s="260"/>
      <c r="U95" s="260"/>
      <c r="V95" s="277"/>
      <c r="W95" s="326"/>
    </row>
    <row r="96" spans="13:23" x14ac:dyDescent="0.25">
      <c r="M96" s="326"/>
      <c r="N96" s="282" t="s">
        <v>42</v>
      </c>
      <c r="O96" s="270" t="s">
        <v>41</v>
      </c>
      <c r="P96" s="283" t="str">
        <f t="shared" si="9"/>
        <v/>
      </c>
      <c r="Q96" s="284" t="str">
        <f t="shared" si="10"/>
        <v/>
      </c>
      <c r="R96" s="259" t="s">
        <v>33</v>
      </c>
      <c r="S96" s="279" t="s">
        <v>508</v>
      </c>
      <c r="T96" s="279" t="s">
        <v>523</v>
      </c>
      <c r="U96" s="279" t="s">
        <v>511</v>
      </c>
      <c r="V96" s="280" t="s">
        <v>542</v>
      </c>
      <c r="W96" s="326"/>
    </row>
    <row r="97" spans="13:23" x14ac:dyDescent="0.25">
      <c r="M97" s="326"/>
      <c r="N97" s="274" t="s">
        <v>46</v>
      </c>
      <c r="O97" s="270" t="s">
        <v>45</v>
      </c>
      <c r="P97" s="283" t="str">
        <f t="shared" si="9"/>
        <v/>
      </c>
      <c r="Q97" s="284" t="str">
        <f t="shared" si="10"/>
        <v/>
      </c>
      <c r="R97" s="274" t="s">
        <v>31</v>
      </c>
      <c r="S97" s="270" t="str">
        <f>IF($I$25="","",IF($I$25="No","n/a",$U97))</f>
        <v/>
      </c>
      <c r="T97" s="270" t="str">
        <f t="shared" ref="T97:T102" si="11">IF($I$35="","",IF($I$35="No","n/a",$U97))</f>
        <v/>
      </c>
      <c r="U97" s="270" t="s">
        <v>307</v>
      </c>
      <c r="V97" s="296">
        <v>0.8</v>
      </c>
      <c r="W97" s="326"/>
    </row>
    <row r="98" spans="13:23" x14ac:dyDescent="0.25">
      <c r="M98" s="326"/>
      <c r="N98" s="274" t="s">
        <v>48</v>
      </c>
      <c r="O98" s="270" t="s">
        <v>47</v>
      </c>
      <c r="P98" s="283" t="str">
        <f t="shared" si="9"/>
        <v/>
      </c>
      <c r="Q98" s="284" t="str">
        <f t="shared" si="10"/>
        <v/>
      </c>
      <c r="R98" s="274" t="s">
        <v>6</v>
      </c>
      <c r="S98" s="270" t="str">
        <f>IF($I$25="","",IF($I$25="No","n/a",$U98))</f>
        <v/>
      </c>
      <c r="T98" s="270" t="str">
        <f t="shared" si="11"/>
        <v/>
      </c>
      <c r="U98" s="270" t="s">
        <v>310</v>
      </c>
      <c r="V98" s="296">
        <v>0.7</v>
      </c>
      <c r="W98" s="326"/>
    </row>
    <row r="99" spans="13:23" x14ac:dyDescent="0.25">
      <c r="M99" s="326"/>
      <c r="N99" s="282" t="s">
        <v>50</v>
      </c>
      <c r="O99" s="270" t="s">
        <v>49</v>
      </c>
      <c r="P99" s="283" t="str">
        <f t="shared" si="9"/>
        <v/>
      </c>
      <c r="Q99" s="284" t="str">
        <f t="shared" si="10"/>
        <v/>
      </c>
      <c r="R99" s="274"/>
      <c r="S99" s="270" t="str">
        <f>IF($I$25="","",IF($I$25="No","n/a",$U99))</f>
        <v/>
      </c>
      <c r="T99" s="270" t="str">
        <f t="shared" si="11"/>
        <v/>
      </c>
      <c r="U99" s="270" t="s">
        <v>313</v>
      </c>
      <c r="V99" s="296">
        <v>0.6</v>
      </c>
      <c r="W99" s="326"/>
    </row>
    <row r="100" spans="13:23" x14ac:dyDescent="0.25">
      <c r="M100" s="326"/>
      <c r="N100" s="282" t="s">
        <v>52</v>
      </c>
      <c r="O100" s="270" t="s">
        <v>51</v>
      </c>
      <c r="P100" s="283" t="str">
        <f t="shared" si="9"/>
        <v/>
      </c>
      <c r="Q100" s="284" t="str">
        <f t="shared" si="10"/>
        <v/>
      </c>
      <c r="R100" s="290"/>
      <c r="S100" s="270" t="str">
        <f t="shared" ref="S100:S102" si="12">IF($I$25="","",IF($I$25="No","n/a",$U100))</f>
        <v/>
      </c>
      <c r="T100" s="270" t="str">
        <f t="shared" si="11"/>
        <v/>
      </c>
      <c r="U100" s="270" t="s">
        <v>316</v>
      </c>
      <c r="V100" s="296">
        <v>0.5</v>
      </c>
      <c r="W100" s="326"/>
    </row>
    <row r="101" spans="13:23" x14ac:dyDescent="0.25">
      <c r="M101" s="326"/>
      <c r="N101" s="282" t="s">
        <v>53</v>
      </c>
      <c r="O101" s="270" t="s">
        <v>84</v>
      </c>
      <c r="P101" s="283" t="str">
        <f t="shared" si="9"/>
        <v/>
      </c>
      <c r="Q101" s="284" t="str">
        <f t="shared" si="10"/>
        <v/>
      </c>
      <c r="R101" s="290"/>
      <c r="S101" s="270" t="str">
        <f t="shared" si="12"/>
        <v/>
      </c>
      <c r="T101" s="270" t="str">
        <f t="shared" si="11"/>
        <v/>
      </c>
      <c r="U101" s="270" t="s">
        <v>319</v>
      </c>
      <c r="V101" s="296">
        <v>0.3</v>
      </c>
      <c r="W101" s="326"/>
    </row>
    <row r="102" spans="13:23" x14ac:dyDescent="0.25">
      <c r="M102" s="326"/>
      <c r="N102" s="274" t="s">
        <v>55</v>
      </c>
      <c r="O102" s="270" t="s">
        <v>54</v>
      </c>
      <c r="P102" s="283" t="str">
        <f t="shared" si="9"/>
        <v/>
      </c>
      <c r="Q102" s="284" t="str">
        <f t="shared" si="10"/>
        <v/>
      </c>
      <c r="R102" s="291"/>
      <c r="S102" s="273" t="str">
        <f t="shared" si="12"/>
        <v/>
      </c>
      <c r="T102" s="273" t="str">
        <f t="shared" si="11"/>
        <v/>
      </c>
      <c r="U102" s="273" t="s">
        <v>322</v>
      </c>
      <c r="V102" s="297">
        <v>0.2</v>
      </c>
      <c r="W102" s="326"/>
    </row>
    <row r="103" spans="13:23" x14ac:dyDescent="0.25">
      <c r="M103" s="326"/>
      <c r="N103" s="274" t="s">
        <v>57</v>
      </c>
      <c r="O103" s="270" t="s">
        <v>56</v>
      </c>
      <c r="P103" s="283" t="str">
        <f t="shared" si="9"/>
        <v/>
      </c>
      <c r="Q103" s="284" t="str">
        <f t="shared" si="10"/>
        <v/>
      </c>
      <c r="R103" s="257"/>
      <c r="S103" s="257"/>
      <c r="T103" s="260"/>
      <c r="U103" s="260"/>
      <c r="V103" s="277"/>
      <c r="W103" s="326"/>
    </row>
    <row r="104" spans="13:23" x14ac:dyDescent="0.25">
      <c r="M104" s="326"/>
      <c r="N104" s="274" t="s">
        <v>59</v>
      </c>
      <c r="O104" s="270" t="s">
        <v>58</v>
      </c>
      <c r="P104" s="283" t="str">
        <f t="shared" si="9"/>
        <v/>
      </c>
      <c r="Q104" s="284" t="str">
        <f t="shared" si="10"/>
        <v/>
      </c>
      <c r="R104" s="259" t="s">
        <v>18</v>
      </c>
      <c r="S104" s="279" t="s">
        <v>545</v>
      </c>
      <c r="T104" s="280" t="s">
        <v>546</v>
      </c>
      <c r="U104" s="260"/>
      <c r="V104" s="277"/>
      <c r="W104" s="326"/>
    </row>
    <row r="105" spans="13:23" x14ac:dyDescent="0.25">
      <c r="M105" s="326"/>
      <c r="N105" s="274" t="s">
        <v>61</v>
      </c>
      <c r="O105" s="270" t="s">
        <v>60</v>
      </c>
      <c r="P105" s="283" t="str">
        <f t="shared" si="9"/>
        <v/>
      </c>
      <c r="Q105" s="284" t="str">
        <f t="shared" si="10"/>
        <v/>
      </c>
      <c r="R105" s="274" t="s">
        <v>4</v>
      </c>
      <c r="S105" s="270">
        <v>1</v>
      </c>
      <c r="T105" s="292">
        <v>1.1499999999999999</v>
      </c>
      <c r="U105" s="260"/>
      <c r="V105" s="277"/>
      <c r="W105" s="326"/>
    </row>
    <row r="106" spans="13:23" x14ac:dyDescent="0.25">
      <c r="M106" s="326"/>
      <c r="N106" s="282" t="s">
        <v>63</v>
      </c>
      <c r="O106" s="270" t="s">
        <v>62</v>
      </c>
      <c r="P106" s="283" t="str">
        <f t="shared" si="9"/>
        <v/>
      </c>
      <c r="Q106" s="284" t="str">
        <f t="shared" si="10"/>
        <v/>
      </c>
      <c r="R106" s="274" t="s">
        <v>24</v>
      </c>
      <c r="S106" s="270">
        <v>2</v>
      </c>
      <c r="T106" s="292">
        <v>1</v>
      </c>
      <c r="U106" s="262"/>
      <c r="V106" s="277"/>
      <c r="W106" s="326"/>
    </row>
    <row r="107" spans="13:23" x14ac:dyDescent="0.25">
      <c r="M107" s="326"/>
      <c r="N107" s="274" t="s">
        <v>65</v>
      </c>
      <c r="O107" s="270" t="s">
        <v>64</v>
      </c>
      <c r="P107" s="283" t="str">
        <f t="shared" si="9"/>
        <v/>
      </c>
      <c r="Q107" s="284" t="str">
        <f t="shared" si="10"/>
        <v/>
      </c>
      <c r="R107" s="274" t="s">
        <v>27</v>
      </c>
      <c r="S107" s="270">
        <v>3</v>
      </c>
      <c r="T107" s="292">
        <v>1</v>
      </c>
      <c r="U107" s="262"/>
      <c r="V107" s="277"/>
      <c r="W107" s="326"/>
    </row>
    <row r="108" spans="13:23" x14ac:dyDescent="0.25">
      <c r="M108" s="326"/>
      <c r="N108" s="274" t="s">
        <v>67</v>
      </c>
      <c r="O108" s="270" t="s">
        <v>66</v>
      </c>
      <c r="P108" s="283" t="str">
        <f t="shared" si="9"/>
        <v/>
      </c>
      <c r="Q108" s="284" t="str">
        <f t="shared" si="10"/>
        <v/>
      </c>
      <c r="R108" s="269" t="s">
        <v>28</v>
      </c>
      <c r="S108" s="273">
        <v>4</v>
      </c>
      <c r="T108" s="293">
        <v>0.85</v>
      </c>
      <c r="U108" s="262"/>
      <c r="V108" s="277"/>
      <c r="W108" s="326"/>
    </row>
    <row r="109" spans="13:23" x14ac:dyDescent="0.25">
      <c r="M109" s="326"/>
      <c r="N109" s="274" t="s">
        <v>69</v>
      </c>
      <c r="O109" s="270" t="s">
        <v>68</v>
      </c>
      <c r="P109" s="283" t="str">
        <f t="shared" si="9"/>
        <v/>
      </c>
      <c r="Q109" s="284" t="str">
        <f t="shared" si="10"/>
        <v/>
      </c>
      <c r="R109" s="260"/>
      <c r="S109" s="260"/>
      <c r="T109" s="261"/>
      <c r="U109" s="262"/>
      <c r="V109" s="277"/>
      <c r="W109" s="326"/>
    </row>
    <row r="110" spans="13:23" x14ac:dyDescent="0.25">
      <c r="M110" s="326"/>
      <c r="N110" s="274" t="s">
        <v>71</v>
      </c>
      <c r="O110" s="270" t="s">
        <v>70</v>
      </c>
      <c r="P110" s="283" t="str">
        <f t="shared" si="9"/>
        <v/>
      </c>
      <c r="Q110" s="284" t="str">
        <f t="shared" si="10"/>
        <v/>
      </c>
      <c r="R110" s="260"/>
      <c r="S110" s="260"/>
      <c r="T110" s="261"/>
      <c r="U110" s="262"/>
      <c r="V110" s="277"/>
      <c r="W110" s="326"/>
    </row>
    <row r="111" spans="13:23" x14ac:dyDescent="0.25">
      <c r="M111" s="326"/>
      <c r="N111" s="274" t="s">
        <v>73</v>
      </c>
      <c r="O111" s="270" t="s">
        <v>72</v>
      </c>
      <c r="P111" s="283" t="str">
        <f t="shared" si="9"/>
        <v/>
      </c>
      <c r="Q111" s="284" t="str">
        <f t="shared" si="10"/>
        <v/>
      </c>
      <c r="R111" s="260"/>
      <c r="S111" s="260"/>
      <c r="T111" s="261"/>
      <c r="U111" s="262"/>
      <c r="V111" s="277"/>
      <c r="W111" s="326"/>
    </row>
    <row r="112" spans="13:23" x14ac:dyDescent="0.25">
      <c r="M112" s="326"/>
      <c r="N112" s="274" t="s">
        <v>75</v>
      </c>
      <c r="O112" s="270" t="s">
        <v>74</v>
      </c>
      <c r="P112" s="283" t="str">
        <f t="shared" si="9"/>
        <v/>
      </c>
      <c r="Q112" s="284" t="str">
        <f t="shared" si="10"/>
        <v/>
      </c>
      <c r="R112" s="260"/>
      <c r="S112" s="260"/>
      <c r="T112" s="261"/>
      <c r="U112" s="262"/>
      <c r="V112" s="277"/>
      <c r="W112" s="326"/>
    </row>
    <row r="113" spans="13:23" x14ac:dyDescent="0.25">
      <c r="M113" s="326"/>
      <c r="N113" s="274" t="s">
        <v>77</v>
      </c>
      <c r="O113" s="270" t="s">
        <v>76</v>
      </c>
      <c r="P113" s="283" t="str">
        <f t="shared" si="9"/>
        <v/>
      </c>
      <c r="Q113" s="284" t="str">
        <f t="shared" si="10"/>
        <v/>
      </c>
      <c r="R113" s="260"/>
      <c r="S113" s="260"/>
      <c r="T113" s="261"/>
      <c r="U113" s="262"/>
      <c r="V113" s="277"/>
      <c r="W113" s="326"/>
    </row>
    <row r="114" spans="13:23" x14ac:dyDescent="0.25">
      <c r="M114" s="326"/>
      <c r="N114" s="274" t="s">
        <v>79</v>
      </c>
      <c r="O114" s="270" t="s">
        <v>78</v>
      </c>
      <c r="P114" s="283" t="str">
        <f t="shared" si="9"/>
        <v/>
      </c>
      <c r="Q114" s="284" t="str">
        <f t="shared" si="10"/>
        <v/>
      </c>
      <c r="R114" s="260"/>
      <c r="S114" s="260"/>
      <c r="T114" s="261"/>
      <c r="U114" s="262"/>
      <c r="V114" s="277"/>
      <c r="W114" s="326"/>
    </row>
    <row r="115" spans="13:23" x14ac:dyDescent="0.25">
      <c r="M115" s="326"/>
      <c r="N115" s="285" t="s">
        <v>81</v>
      </c>
      <c r="O115" s="273" t="s">
        <v>80</v>
      </c>
      <c r="P115" s="286" t="str">
        <f t="shared" si="9"/>
        <v/>
      </c>
      <c r="Q115" s="287" t="str">
        <f t="shared" si="10"/>
        <v/>
      </c>
      <c r="R115" s="260"/>
      <c r="S115" s="260"/>
      <c r="T115" s="261"/>
      <c r="U115" s="262"/>
      <c r="V115" s="277"/>
      <c r="W115" s="326"/>
    </row>
    <row r="116" spans="13:23" x14ac:dyDescent="0.25">
      <c r="M116" s="326"/>
      <c r="N116" s="330"/>
      <c r="O116" s="330"/>
      <c r="P116" s="330"/>
      <c r="Q116" s="330"/>
      <c r="R116" s="330"/>
      <c r="S116" s="330"/>
      <c r="T116" s="331"/>
      <c r="U116" s="332"/>
      <c r="V116" s="328"/>
      <c r="W116" s="326"/>
    </row>
  </sheetData>
  <sheetProtection password="8D31" sheet="1" objects="1" scenarios="1" selectLockedCells="1"/>
  <sortState ref="N77:Q100">
    <sortCondition ref="Q77:Q100"/>
  </sortState>
  <mergeCells count="6">
    <mergeCell ref="C47:E47"/>
    <mergeCell ref="H47:J47"/>
    <mergeCell ref="B1:K1"/>
    <mergeCell ref="E2:H2"/>
    <mergeCell ref="E13:H13"/>
    <mergeCell ref="G19:I19"/>
  </mergeCells>
  <conditionalFormatting sqref="C50:E50 H50:J50">
    <cfRule type="cellIs" dxfId="111" priority="46" operator="equal">
      <formula>"Probable Success"</formula>
    </cfRule>
    <cfRule type="cellIs" dxfId="110" priority="47" operator="equal">
      <formula>"Questionable"</formula>
    </cfRule>
    <cfRule type="cellIs" dxfId="109" priority="48" operator="equal">
      <formula>"Failure Imminent"</formula>
    </cfRule>
  </conditionalFormatting>
  <conditionalFormatting sqref="C23">
    <cfRule type="cellIs" dxfId="108" priority="45" operator="equal">
      <formula>"What is the PC owner's Regional Reaction in the region?"</formula>
    </cfRule>
  </conditionalFormatting>
  <conditionalFormatting sqref="C21">
    <cfRule type="cellIs" dxfId="107" priority="44" operator="equal">
      <formula>"What is the PC owner's level of Control in the region?"</formula>
    </cfRule>
  </conditionalFormatting>
  <conditionalFormatting sqref="J21">
    <cfRule type="expression" dxfId="106" priority="8" stopIfTrue="1">
      <formula>$J$17="Human"</formula>
    </cfRule>
    <cfRule type="expression" dxfId="105" priority="42" stopIfTrue="1">
      <formula>$J$17="Neutral"</formula>
    </cfRule>
  </conditionalFormatting>
  <conditionalFormatting sqref="J23">
    <cfRule type="expression" dxfId="104" priority="7" stopIfTrue="1">
      <formula>$J$17="Human"</formula>
    </cfRule>
    <cfRule type="expression" dxfId="103" priority="33" stopIfTrue="1">
      <formula>$J$17="Neutral"</formula>
    </cfRule>
  </conditionalFormatting>
  <conditionalFormatting sqref="G38:J42">
    <cfRule type="expression" dxfId="102" priority="27" stopIfTrue="1">
      <formula>$I$35=""</formula>
    </cfRule>
    <cfRule type="expression" dxfId="101" priority="28" stopIfTrue="1">
      <formula>$I$35="No"</formula>
    </cfRule>
    <cfRule type="expression" priority="29" stopIfTrue="1">
      <formula>$H$38&lt;&gt;""</formula>
    </cfRule>
    <cfRule type="expression" priority="30" stopIfTrue="1">
      <formula>$H$39&lt;&gt;""</formula>
    </cfRule>
    <cfRule type="expression" priority="31" stopIfTrue="1">
      <formula>$H$40&lt;&gt;""</formula>
    </cfRule>
    <cfRule type="expression" priority="32" stopIfTrue="1">
      <formula>$H$41&lt;&gt;""</formula>
    </cfRule>
    <cfRule type="expression" priority="49" stopIfTrue="1">
      <formula>$H$42&lt;&gt;""</formula>
    </cfRule>
    <cfRule type="cellIs" dxfId="100" priority="50" operator="equal">
      <formula>""</formula>
    </cfRule>
  </conditionalFormatting>
  <conditionalFormatting sqref="O68:Q69">
    <cfRule type="cellIs" priority="34" stopIfTrue="1" operator="equal">
      <formula>"n/a"</formula>
    </cfRule>
    <cfRule type="cellIs" dxfId="99" priority="38" stopIfTrue="1" operator="greaterThan">
      <formula>0.5</formula>
    </cfRule>
    <cfRule type="cellIs" dxfId="98" priority="39" stopIfTrue="1" operator="greaterThan">
      <formula>-0.1</formula>
    </cfRule>
    <cfRule type="cellIs" dxfId="97" priority="40" operator="notEqual">
      <formula>"n/a"</formula>
    </cfRule>
  </conditionalFormatting>
  <conditionalFormatting sqref="J4 J6 J8 J10 J15 J17 J21 J23 I35">
    <cfRule type="cellIs" dxfId="96" priority="43" stopIfTrue="1" operator="equal">
      <formula>""</formula>
    </cfRule>
  </conditionalFormatting>
  <conditionalFormatting sqref="C19">
    <cfRule type="cellIs" dxfId="95" priority="24" operator="equal">
      <formula>"Is this the Population Center owner's Capital?"</formula>
    </cfRule>
  </conditionalFormatting>
  <conditionalFormatting sqref="J19">
    <cfRule type="expression" dxfId="94" priority="9" stopIfTrue="1">
      <formula>$J$17="Human"</formula>
    </cfRule>
    <cfRule type="expression" dxfId="93" priority="22" stopIfTrue="1">
      <formula>$J$17="Neutral"</formula>
    </cfRule>
  </conditionalFormatting>
  <conditionalFormatting sqref="J19">
    <cfRule type="cellIs" dxfId="92" priority="23" stopIfTrue="1" operator="equal">
      <formula>""</formula>
    </cfRule>
  </conditionalFormatting>
  <conditionalFormatting sqref="G28:J32">
    <cfRule type="expression" dxfId="91" priority="13" stopIfTrue="1">
      <formula>$I$25=""</formula>
    </cfRule>
    <cfRule type="expression" dxfId="90" priority="14" stopIfTrue="1">
      <formula>$I$25="No"</formula>
    </cfRule>
    <cfRule type="expression" priority="15" stopIfTrue="1">
      <formula>$H$28&lt;&gt;""</formula>
    </cfRule>
    <cfRule type="expression" priority="16" stopIfTrue="1">
      <formula>$H$29&lt;&gt;""</formula>
    </cfRule>
    <cfRule type="expression" priority="17" stopIfTrue="1">
      <formula>$H$30&lt;&gt;""</formula>
    </cfRule>
    <cfRule type="expression" priority="18" stopIfTrue="1">
      <formula>$H$31&lt;&gt;""</formula>
    </cfRule>
    <cfRule type="expression" priority="20" stopIfTrue="1">
      <formula>$H$32&lt;&gt;""</formula>
    </cfRule>
    <cfRule type="cellIs" dxfId="89" priority="21" operator="equal">
      <formula>""</formula>
    </cfRule>
  </conditionalFormatting>
  <conditionalFormatting sqref="I25">
    <cfRule type="cellIs" dxfId="88" priority="19" operator="equal">
      <formula>""</formula>
    </cfRule>
  </conditionalFormatting>
  <conditionalFormatting sqref="G19">
    <cfRule type="containsText" dxfId="87" priority="5" operator="containsText" text="* Capitals are not affected by emissary actions *">
      <formula>NOT(ISERROR(SEARCH("* Capitals are not affected by emissary actions *",G19)))</formula>
    </cfRule>
  </conditionalFormatting>
  <conditionalFormatting sqref="G28:G32">
    <cfRule type="containsText" dxfId="86" priority="4" stopIfTrue="1" operator="containsText" text="Oratory">
      <formula>NOT(ISERROR(SEARCH("Oratory",G28)))</formula>
    </cfRule>
  </conditionalFormatting>
  <conditionalFormatting sqref="G38:G42">
    <cfRule type="containsText" dxfId="85" priority="3" stopIfTrue="1" operator="containsText" text="Cunning">
      <formula>NOT(ISERROR(SEARCH("Cunning",G38)))</formula>
    </cfRule>
  </conditionalFormatting>
  <conditionalFormatting sqref="F28:F32">
    <cfRule type="containsText" dxfId="84" priority="2" stopIfTrue="1" operator="containsText" text="Oratory">
      <formula>NOT(ISERROR(SEARCH("Oratory",F28)))</formula>
    </cfRule>
  </conditionalFormatting>
  <conditionalFormatting sqref="F38:F42">
    <cfRule type="containsText" dxfId="83" priority="1" stopIfTrue="1" operator="containsText" text="Cunning">
      <formula>NOT(ISERROR(SEARCH("Cunning",F38)))</formula>
    </cfRule>
  </conditionalFormatting>
  <dataValidations count="15">
    <dataValidation type="decimal" showErrorMessage="1" errorTitle="Invalid Number" error="Please enter a number between 8 and 30." promptTitle="Value vs. PC" prompt="_x000a_Enter a whole number greater than or equal to 1000." sqref="I38:I42 J8 I28:I32">
      <formula1>8</formula1>
      <formula2>30</formula2>
    </dataValidation>
    <dataValidation type="list" showErrorMessage="1" errorTitle="Invalid Selection" error="Please select a Kingdom._x000a__x000a_* Drop-Down Menu *_x000a_ " promptTitle="Status Quo?" prompt="_x000a_Select whether there may be Status Quo activity in the PC._x000a__x000a_* Drop-down menu *" sqref="J4">
      <formula1>$N$92:$N$115</formula1>
    </dataValidation>
    <dataValidation type="list" showErrorMessage="1" errorTitle="Invalid Selection" error="Please select the PC owner or 'Human' or 'Neutral'._x000a__x000a_* Drop-Down Menu *_x000a_ " promptTitle="Owned or Neutral" prompt="_x000a_Select whether the PC is Owned or Neutral._x000a__x000a_* Drop-down menu *" sqref="J17">
      <formula1>$N$90:$N$115</formula1>
    </dataValidation>
    <dataValidation type="list" showErrorMessage="1" errorTitle="Invalid Selection" error="Please select City, Town or Village._x000a__x000a_* Drop-Down Menu *_x000a_ " promptTitle="Status Quo?" prompt="_x000a_Select whether there may be Status Quo activity in the PC._x000a__x000a_* Drop-down menu *" sqref="J15">
      <formula1>$U$90:$U$92</formula1>
    </dataValidation>
    <dataValidation type="list" showErrorMessage="1" errorTitle="Invalid Selection" error="Are any emissaries maintaining status quo this turn?  Please select 'Yes' or 'No'._x000a__x000a_* Drop-Down Menu *_x000a_ " promptTitle="Control of Region" prompt="_x000a_Select whether the PC owner has control of the region._x000a__x000a_* Drop-down menu *" sqref="I35 I25">
      <formula1>$R$97:$R$98</formula1>
    </dataValidation>
    <dataValidation type="list" showErrorMessage="1" errorTitle="Invalid Selection" error="Please select an Emissary._x000a__x000a_* Drop-Down Menu *_x000a_ " promptTitle="Status Quo?" prompt="_x000a_Select whether there may be Status Quo activity in the PC._x000a__x000a_* Drop-down menu *" sqref="J6">
      <formula1>$U$97:$U$102</formula1>
    </dataValidation>
    <dataValidation type="list" showErrorMessage="1" errorTitle="Invalid Selection" error="Please select the kingdom of the Emissary performing Stir Unrest._x000a__x000a_* Drop-Down Menu *_x000a_ " promptTitle="Status Quo?" prompt="_x000a_Select whether there may be Status Quo activity in the PC._x000a__x000a_* Drop-down menu *" sqref="G38:G42">
      <formula1>$Q$92:$Q$115</formula1>
    </dataValidation>
    <dataValidation type="list" showErrorMessage="1" errorTitle="Invalid Selection" error="Please select an Emissary performing Stir Unrest._x000a__x000a_* Drop-Down Menu *_x000a_ " promptTitle="Status Quo?" prompt="_x000a_Select whether there may be Status Quo activity in the PC._x000a__x000a_* Drop-down menu *" sqref="H38:H42">
      <formula1>$T$97:$T$102</formula1>
    </dataValidation>
    <dataValidation type="list" allowBlank="1" showErrorMessage="1" errorTitle="Invalid Selection" error="Please select the kingdom of the Emissary performing Status Quo._x000a__x000a_* Drop-Down Menu *" sqref="G28:G32">
      <formula1>$P$92:$P$115</formula1>
    </dataValidation>
    <dataValidation type="list" showErrorMessage="1" errorTitle="Invalid Selection" error="What is the PC owner's level of Control in the region?_x000a__x000a_* Drop-Down Menu *_x000a_ " promptTitle="Control of Region" prompt="_x000a_Select whether the PC owner has control of the region._x000a__x000a_* Drop-down menu *" sqref="J21">
      <formula1>$S$90:$S$93</formula1>
    </dataValidation>
    <dataValidation type="list" showErrorMessage="1" errorTitle="Invalid Selection" error="Enter whether the PC is the owner's Capital (Y/N)._x000a__x000a_* Drop-Down Menu *_x000a_ " promptTitle="Control of Region" prompt="_x000a_Select whether the PC owner has control of the region._x000a__x000a_* Drop-down menu *" sqref="J19">
      <formula1>$R$90:$R$91</formula1>
    </dataValidation>
    <dataValidation type="list" showErrorMessage="1" errorTitle="Invalid Selection" error="Please select an Emissary performing Status Quo._x000a__x000a_* Drop-Down Menu *_x000a_ " promptTitle="Status Quo?" prompt="_x000a_Select whether there may be Status Quo activity in the PC._x000a__x000a_* Drop-down menu *" sqref="H28:H32">
      <formula1>$S$97:$S$102</formula1>
    </dataValidation>
    <dataValidation type="list" showErrorMessage="1" errorTitle="Invalid Selection" error="Please select your Regional Reaction in the area._x000a__x000a_* Drop-Down Menu *_x000a_ " promptTitle="Regional Reaction" prompt="_x000a_Select your Regional Reaction in the area._x000a__x000a_* Drop-down menu *" sqref="J10">
      <formula1>$R$105:$R$108</formula1>
    </dataValidation>
    <dataValidation type="list" showErrorMessage="1" errorTitle="Invalid Selection" error="Please select the PC owner's Regional Reaction._x000a__x000a_* Drop-Down Menu *_x000a_ " promptTitle="Enemy?" prompt="_x000a_Select whether the PC owner has declared you as an Enemy (or is your Natural Enemy)._x000a__x000a_* Drop-down menu *" sqref="J23">
      <formula1>$R$105:$R$108</formula1>
    </dataValidation>
    <dataValidation type="list" showErrorMessage="1" errorTitle="Invalid" error="Please select the Regional Reaction from the list._x000a__x000a_* Drop-dowm Menu *" promptTitle="Value vs. PC" prompt="_x000a_Enter a whole number greater than or equal to 1000." sqref="J28:J32 J38:J42">
      <formula1>$R$105:$R$108</formula1>
    </dataValidation>
  </dataValidations>
  <printOptions horizontalCentered="1"/>
  <pageMargins left="0.2" right="0.2" top="0.5" bottom="0.5" header="0.3" footer="0.3"/>
  <pageSetup scale="79" orientation="portrait" r:id="rId1"/>
  <headerFooter>
    <oddFooter>&amp;Lwww.Alamaze.co&amp;RPrepared by: Frost Lord</oddFooter>
  </headerFooter>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pageSetUpPr fitToPage="1"/>
  </sheetPr>
  <dimension ref="B1:Y97"/>
  <sheetViews>
    <sheetView showGridLines="0" showRowColHeaders="0" zoomScale="90" zoomScaleNormal="90" workbookViewId="0">
      <selection activeCell="J4" sqref="J4"/>
    </sheetView>
  </sheetViews>
  <sheetFormatPr defaultRowHeight="15" x14ac:dyDescent="0.25"/>
  <cols>
    <col min="1" max="1" width="4.85546875" customWidth="1"/>
    <col min="3" max="10" width="11.7109375" customWidth="1"/>
    <col min="12" max="12" width="4.85546875" customWidth="1"/>
    <col min="13" max="13" width="3.28515625" hidden="1" customWidth="1"/>
    <col min="14" max="14" width="15.42578125" style="37" hidden="1" customWidth="1"/>
    <col min="15" max="15" width="15.7109375" style="37" hidden="1" customWidth="1"/>
    <col min="16" max="16" width="15" style="37" hidden="1" customWidth="1"/>
    <col min="17" max="17" width="18.28515625" style="37" hidden="1" customWidth="1"/>
    <col min="18" max="18" width="13.28515625" style="37" hidden="1" customWidth="1"/>
    <col min="19" max="19" width="16.42578125" style="37" hidden="1" customWidth="1"/>
    <col min="20" max="20" width="13.140625" hidden="1" customWidth="1"/>
    <col min="21" max="21" width="7.5703125" hidden="1" customWidth="1"/>
    <col min="22" max="23" width="9.140625" hidden="1" customWidth="1"/>
    <col min="24" max="24" width="12.5703125" hidden="1" customWidth="1"/>
    <col min="25" max="25" width="3.28515625" hidden="1" customWidth="1"/>
  </cols>
  <sheetData>
    <row r="1" spans="2:25" ht="27" thickBot="1" x14ac:dyDescent="0.45">
      <c r="B1" s="688" t="s">
        <v>0</v>
      </c>
      <c r="C1" s="688"/>
      <c r="D1" s="688"/>
      <c r="E1" s="688"/>
      <c r="F1" s="688"/>
      <c r="G1" s="688"/>
      <c r="H1" s="688"/>
      <c r="I1" s="688"/>
      <c r="J1" s="688"/>
      <c r="K1" s="688"/>
    </row>
    <row r="2" spans="2:25" ht="19.5" thickTop="1" x14ac:dyDescent="0.3">
      <c r="B2" s="9"/>
      <c r="C2" s="10"/>
      <c r="D2" s="10"/>
      <c r="E2" s="691" t="s">
        <v>706</v>
      </c>
      <c r="F2" s="691"/>
      <c r="G2" s="691"/>
      <c r="H2" s="691"/>
      <c r="I2" s="10"/>
      <c r="J2" s="10"/>
      <c r="K2" s="11"/>
      <c r="M2" s="94"/>
      <c r="N2" s="94"/>
      <c r="O2" s="94"/>
      <c r="P2" s="94"/>
      <c r="Q2" s="94"/>
      <c r="R2" s="94"/>
      <c r="S2" s="94"/>
      <c r="T2" s="90"/>
      <c r="U2" s="90"/>
      <c r="V2" s="90"/>
      <c r="W2" s="90"/>
      <c r="X2" s="90"/>
      <c r="Y2" s="90"/>
    </row>
    <row r="3" spans="2:25" ht="3.95" customHeight="1" thickBot="1" x14ac:dyDescent="0.3">
      <c r="B3" s="3"/>
      <c r="C3" s="18"/>
      <c r="D3" s="5"/>
      <c r="E3" s="5"/>
      <c r="F3" s="5"/>
      <c r="G3" s="5"/>
      <c r="H3" s="5"/>
      <c r="I3" s="5"/>
      <c r="J3" s="19"/>
      <c r="K3" s="4"/>
      <c r="M3" s="94"/>
      <c r="N3" s="39"/>
      <c r="O3" s="39"/>
      <c r="P3" s="39"/>
      <c r="Q3" s="39"/>
      <c r="R3" s="39"/>
      <c r="S3" s="39"/>
      <c r="T3" s="38"/>
      <c r="U3" s="38"/>
      <c r="V3" s="38"/>
      <c r="W3" s="38"/>
      <c r="X3" s="38"/>
      <c r="Y3" s="90"/>
    </row>
    <row r="4" spans="2:25" ht="15.75" thickBot="1" x14ac:dyDescent="0.3">
      <c r="B4" s="13" t="str">
        <f>IF(J4="","*** ","")</f>
        <v xml:space="preserve">*** </v>
      </c>
      <c r="C4" s="582" t="s">
        <v>1</v>
      </c>
      <c r="D4" s="15"/>
      <c r="E4" s="15"/>
      <c r="F4" s="15"/>
      <c r="G4" s="15"/>
      <c r="H4" s="15"/>
      <c r="I4" s="42"/>
      <c r="J4" s="17"/>
      <c r="K4" s="41"/>
      <c r="M4" s="94"/>
      <c r="N4" s="39"/>
      <c r="O4" s="39"/>
      <c r="P4" s="39"/>
      <c r="Q4" s="39" t="s">
        <v>10</v>
      </c>
      <c r="R4" s="39"/>
      <c r="S4" s="39"/>
      <c r="T4" s="38"/>
      <c r="U4" s="38"/>
      <c r="V4" s="38"/>
      <c r="W4" s="38"/>
      <c r="X4" s="38"/>
      <c r="Y4" s="90"/>
    </row>
    <row r="5" spans="2:25" ht="3.95" customHeight="1" thickBot="1" x14ac:dyDescent="0.3">
      <c r="B5" s="3"/>
      <c r="C5" s="100"/>
      <c r="D5" s="5"/>
      <c r="E5" s="5"/>
      <c r="F5" s="5"/>
      <c r="G5" s="5"/>
      <c r="H5" s="5"/>
      <c r="I5" s="5"/>
      <c r="J5" s="19"/>
      <c r="K5" s="4"/>
      <c r="M5" s="94"/>
      <c r="N5" s="94"/>
      <c r="O5" s="94"/>
      <c r="P5" s="94"/>
      <c r="Q5" s="94"/>
      <c r="R5" s="94"/>
      <c r="S5" s="94"/>
      <c r="T5" s="90"/>
      <c r="U5" s="90"/>
      <c r="V5" s="90"/>
      <c r="W5" s="90"/>
      <c r="X5" s="90"/>
      <c r="Y5" s="90"/>
    </row>
    <row r="6" spans="2:25" ht="15.75" thickBot="1" x14ac:dyDescent="0.3">
      <c r="B6" s="13" t="str">
        <f>IF(J6="","*** ","")</f>
        <v xml:space="preserve">*** </v>
      </c>
      <c r="C6" s="582" t="s">
        <v>32</v>
      </c>
      <c r="D6" s="15"/>
      <c r="E6" s="15"/>
      <c r="F6" s="15"/>
      <c r="G6" s="15"/>
      <c r="H6" s="15"/>
      <c r="I6" s="15"/>
      <c r="J6" s="576"/>
      <c r="K6" s="490"/>
      <c r="M6" s="94"/>
      <c r="N6" s="39"/>
      <c r="O6" s="39"/>
      <c r="P6" s="39"/>
      <c r="Q6" s="39"/>
      <c r="R6" s="39"/>
      <c r="S6" s="39"/>
      <c r="T6" s="38"/>
      <c r="U6" s="38"/>
      <c r="V6" s="38"/>
      <c r="W6" s="38"/>
      <c r="X6" s="38"/>
      <c r="Y6" s="90"/>
    </row>
    <row r="7" spans="2:25" ht="3.95" customHeight="1" thickBot="1" x14ac:dyDescent="0.3">
      <c r="B7" s="3"/>
      <c r="C7" s="100"/>
      <c r="D7" s="5"/>
      <c r="E7" s="5"/>
      <c r="F7" s="5"/>
      <c r="G7" s="5"/>
      <c r="H7" s="5"/>
      <c r="I7" s="5"/>
      <c r="J7" s="19"/>
      <c r="K7" s="4"/>
      <c r="M7" s="90"/>
      <c r="N7" s="39"/>
      <c r="O7" s="39"/>
      <c r="P7" s="39"/>
      <c r="Q7" s="39"/>
      <c r="R7" s="39"/>
      <c r="S7" s="39"/>
      <c r="T7" s="38"/>
      <c r="U7" s="38"/>
      <c r="V7" s="38"/>
      <c r="W7" s="38"/>
      <c r="X7" s="38"/>
      <c r="Y7" s="90"/>
    </row>
    <row r="8" spans="2:25" ht="15.75" thickBot="1" x14ac:dyDescent="0.3">
      <c r="B8" s="13" t="str">
        <f>IF(J8="","*** ","")</f>
        <v xml:space="preserve">*** </v>
      </c>
      <c r="C8" s="582" t="s">
        <v>3</v>
      </c>
      <c r="D8" s="15"/>
      <c r="E8" s="15"/>
      <c r="F8" s="15"/>
      <c r="G8" s="15"/>
      <c r="H8" s="15"/>
      <c r="I8" s="15"/>
      <c r="J8" s="20"/>
      <c r="K8" s="4"/>
      <c r="M8" s="90"/>
      <c r="N8" s="39"/>
      <c r="O8" s="39"/>
      <c r="P8" s="39"/>
      <c r="Q8" s="39"/>
      <c r="R8" s="39"/>
      <c r="S8" s="39"/>
      <c r="T8" s="38"/>
      <c r="U8" s="38"/>
      <c r="V8" s="38"/>
      <c r="W8" s="38"/>
      <c r="X8" s="38"/>
      <c r="Y8" s="90"/>
    </row>
    <row r="9" spans="2:25" ht="3.95" customHeight="1" thickBot="1" x14ac:dyDescent="0.3">
      <c r="B9" s="6"/>
      <c r="C9" s="21"/>
      <c r="D9" s="22"/>
      <c r="E9" s="7"/>
      <c r="F9" s="7"/>
      <c r="G9" s="7"/>
      <c r="H9" s="7"/>
      <c r="I9" s="7"/>
      <c r="J9" s="23"/>
      <c r="K9" s="8"/>
      <c r="M9" s="90"/>
      <c r="N9" s="298"/>
      <c r="O9" s="298"/>
      <c r="P9" s="298"/>
      <c r="Q9" s="298"/>
      <c r="R9" s="298"/>
      <c r="S9" s="298"/>
      <c r="T9" s="299"/>
      <c r="U9" s="299"/>
      <c r="V9" s="299"/>
      <c r="W9" s="299"/>
      <c r="X9" s="299"/>
      <c r="Y9" s="90"/>
    </row>
    <row r="10" spans="2:25" ht="3.95" customHeight="1" thickTop="1" thickBot="1" x14ac:dyDescent="0.3">
      <c r="M10" s="90"/>
      <c r="N10" s="298"/>
      <c r="O10" s="298"/>
      <c r="P10" s="298"/>
      <c r="Q10" s="298"/>
      <c r="R10" s="298"/>
      <c r="S10" s="298"/>
      <c r="T10" s="299"/>
      <c r="U10" s="299"/>
      <c r="V10" s="299"/>
      <c r="W10" s="299"/>
      <c r="X10" s="299"/>
      <c r="Y10" s="90"/>
    </row>
    <row r="11" spans="2:25" ht="19.5" thickTop="1" x14ac:dyDescent="0.3">
      <c r="B11" s="9"/>
      <c r="C11" s="10"/>
      <c r="D11" s="10"/>
      <c r="E11" s="692" t="s">
        <v>707</v>
      </c>
      <c r="F11" s="692"/>
      <c r="G11" s="692"/>
      <c r="H11" s="692"/>
      <c r="I11" s="10"/>
      <c r="J11" s="10"/>
      <c r="K11" s="24"/>
      <c r="M11" s="90"/>
      <c r="N11" s="298"/>
      <c r="O11" s="298"/>
      <c r="P11" s="298"/>
      <c r="Q11" s="298"/>
      <c r="R11" s="298"/>
      <c r="S11" s="298"/>
      <c r="T11" s="299"/>
      <c r="U11" s="299"/>
      <c r="V11" s="299"/>
      <c r="W11" s="299"/>
      <c r="X11" s="299"/>
      <c r="Y11" s="90"/>
    </row>
    <row r="12" spans="2:25" ht="3.95" customHeight="1" thickBot="1" x14ac:dyDescent="0.3">
      <c r="B12" s="3"/>
      <c r="C12" s="25"/>
      <c r="D12" s="26"/>
      <c r="E12" s="5"/>
      <c r="F12" s="5"/>
      <c r="G12" s="5"/>
      <c r="H12" s="5"/>
      <c r="I12" s="5"/>
      <c r="J12" s="19"/>
      <c r="K12" s="4"/>
      <c r="M12" s="90"/>
      <c r="N12" s="298"/>
      <c r="O12" s="298"/>
      <c r="P12" s="298"/>
      <c r="Q12" s="298"/>
      <c r="R12" s="298"/>
      <c r="S12" s="298"/>
      <c r="T12" s="299"/>
      <c r="U12" s="299"/>
      <c r="V12" s="299"/>
      <c r="W12" s="299"/>
      <c r="X12" s="299"/>
      <c r="Y12" s="90"/>
    </row>
    <row r="13" spans="2:25" ht="15.75" thickBot="1" x14ac:dyDescent="0.3">
      <c r="B13" s="13" t="str">
        <f>IF(J13="","*** ","")</f>
        <v xml:space="preserve">*** </v>
      </c>
      <c r="C13" s="582" t="s">
        <v>249</v>
      </c>
      <c r="D13" s="15"/>
      <c r="E13" s="15"/>
      <c r="F13" s="15"/>
      <c r="G13" s="15"/>
      <c r="H13" s="15"/>
      <c r="I13" s="15"/>
      <c r="J13" s="17"/>
      <c r="K13" s="4"/>
      <c r="M13" s="90"/>
      <c r="N13" s="300" t="s">
        <v>226</v>
      </c>
      <c r="O13" s="300" t="s">
        <v>227</v>
      </c>
      <c r="P13" s="300" t="s">
        <v>237</v>
      </c>
      <c r="Q13" s="298"/>
      <c r="R13" s="298"/>
      <c r="S13" s="298"/>
      <c r="T13" s="299"/>
      <c r="U13" s="299"/>
      <c r="V13" s="299"/>
      <c r="W13" s="299"/>
      <c r="X13" s="299"/>
      <c r="Y13" s="90"/>
    </row>
    <row r="14" spans="2:25" ht="3.95" customHeight="1" thickBot="1" x14ac:dyDescent="0.3">
      <c r="B14" s="3"/>
      <c r="C14" s="583"/>
      <c r="D14" s="5"/>
      <c r="E14" s="5"/>
      <c r="F14" s="5"/>
      <c r="G14" s="5"/>
      <c r="H14" s="5"/>
      <c r="I14" s="5"/>
      <c r="J14" s="19"/>
      <c r="K14" s="4"/>
      <c r="M14" s="90"/>
      <c r="N14" s="298"/>
      <c r="O14" s="298"/>
      <c r="P14" s="298"/>
      <c r="Q14" s="298"/>
      <c r="R14" s="298"/>
      <c r="S14" s="298"/>
      <c r="T14" s="299"/>
      <c r="U14" s="299"/>
      <c r="V14" s="299"/>
      <c r="W14" s="299"/>
      <c r="X14" s="299"/>
      <c r="Y14" s="90"/>
    </row>
    <row r="15" spans="2:25" ht="15.75" thickBot="1" x14ac:dyDescent="0.3">
      <c r="B15" s="13" t="str">
        <f>IF(J15="","*** ","")</f>
        <v xml:space="preserve">*** </v>
      </c>
      <c r="C15" s="582" t="s">
        <v>209</v>
      </c>
      <c r="D15" s="15"/>
      <c r="E15" s="15"/>
      <c r="F15" s="15"/>
      <c r="G15" s="15"/>
      <c r="H15" s="15"/>
      <c r="I15" s="92" t="str">
        <f>IF($J$15="","",IF(LEN(P15)&lt;=1,CONCATENATE(VLOOKUP($J$15,$U$57:$X$82,4,FALSE)," "),IF(LEFT(P15,1)="/",CONCATENATE(VLOOKUP($J$15,$U$57:$X$82,4,FALSE)," [ ",O15," Trait ]"),IF(RIGHT(P15,1)="/",CONCATENATE(VLOOKUP($J$15,$U$57:$X$82,4,FALSE)," [ ",N15," Trait ]"),CONCATENATE(VLOOKUP($J$15,$U$57:$X$82,4,FALSE)," [ Traits: ",P15," ]")))))</f>
        <v/>
      </c>
      <c r="J15" s="20"/>
      <c r="K15" s="4"/>
      <c r="M15" s="90"/>
      <c r="N15" s="355" t="str">
        <f>IF(J15="","",IF(J15="Neutral","",IF(J15="Human","",IF(VLOOKUP($J$15,'Kingdom Traits Matrix'!$D$4:$T$27,17,FALSE)="●","Order",""))))</f>
        <v/>
      </c>
      <c r="O15" s="355" t="str">
        <f>IF(J15="","",IF(J15="Neutral","",IF(J15="Human","",IF(VLOOKUP($J$15,'Kingdom Traits Matrix'!$D$4:$W$27,20,FALSE)="●","Ruthless",""))))</f>
        <v/>
      </c>
      <c r="P15" s="355" t="str">
        <f>CONCATENATE(N15,"/",O15)</f>
        <v>/</v>
      </c>
      <c r="Q15" s="298"/>
      <c r="R15" s="298"/>
      <c r="S15" s="298"/>
      <c r="T15" s="299"/>
      <c r="U15" s="299"/>
      <c r="V15" s="299"/>
      <c r="W15" s="299"/>
      <c r="X15" s="299"/>
      <c r="Y15" s="90"/>
    </row>
    <row r="16" spans="2:25" ht="3.95" customHeight="1" thickBot="1" x14ac:dyDescent="0.3">
      <c r="B16" s="3"/>
      <c r="C16" s="584"/>
      <c r="D16" s="12"/>
      <c r="E16" s="5"/>
      <c r="F16" s="5"/>
      <c r="G16" s="5"/>
      <c r="H16" s="5"/>
      <c r="I16" s="5"/>
      <c r="J16" s="5"/>
      <c r="K16" s="4"/>
      <c r="M16" s="90"/>
      <c r="N16" s="298"/>
      <c r="O16" s="298"/>
      <c r="P16" s="298"/>
      <c r="Q16" s="298"/>
      <c r="R16" s="298"/>
      <c r="S16" s="298"/>
      <c r="T16" s="299"/>
      <c r="U16" s="299"/>
      <c r="V16" s="299"/>
      <c r="W16" s="299"/>
      <c r="X16" s="299"/>
      <c r="Y16" s="90"/>
    </row>
    <row r="17" spans="2:25" ht="15.75" thickBot="1" x14ac:dyDescent="0.3">
      <c r="B17" s="13" t="str">
        <f>IF(C17="Is the Population Center the owner's 'Capital'?","",IF(J17="","*** ",""))</f>
        <v xml:space="preserve">*** </v>
      </c>
      <c r="C17" s="582" t="str">
        <f>IF(J15="Neutral","Is the Population Center the owner's 'Capital'?",IF(J15="Human","Is the Population Center the owner's 'Capital'?","Is the Population Center the owner's 'Capital' ?"))</f>
        <v>Is the Population Center the owner's 'Capital' ?</v>
      </c>
      <c r="D17" s="15"/>
      <c r="E17" s="15"/>
      <c r="F17" s="16"/>
      <c r="G17" s="696" t="str">
        <f>IF($J$15="","",IF($J$15="Neutral","",IF($J$15="Human","",IF($O$57&gt;0,"",IF($J$17="Yes","* Capitals are not affected by orders 170/171 *","")))))</f>
        <v/>
      </c>
      <c r="H17" s="696"/>
      <c r="I17" s="697"/>
      <c r="J17" s="20"/>
      <c r="K17" s="490" t="str">
        <f>IF($J$15="","",IF($J$15="Neutral","",IF($J$15="Human","",IF($O$57&gt;0,"",IF($J$17="Yes","*","")))))</f>
        <v/>
      </c>
      <c r="M17" s="90"/>
      <c r="N17" s="298"/>
      <c r="O17" s="298"/>
      <c r="P17" s="298"/>
      <c r="Q17" s="298"/>
      <c r="R17" s="298"/>
      <c r="S17" s="298"/>
      <c r="T17" s="299"/>
      <c r="U17" s="299"/>
      <c r="V17" s="299"/>
      <c r="W17" s="299"/>
      <c r="X17" s="299"/>
      <c r="Y17" s="90"/>
    </row>
    <row r="18" spans="2:25" ht="3.95" customHeight="1" thickBot="1" x14ac:dyDescent="0.3">
      <c r="B18" s="3"/>
      <c r="C18" s="584"/>
      <c r="D18" s="12"/>
      <c r="E18" s="5"/>
      <c r="F18" s="5"/>
      <c r="G18" s="5"/>
      <c r="H18" s="5"/>
      <c r="I18" s="5"/>
      <c r="J18" s="5"/>
      <c r="K18" s="4"/>
      <c r="M18" s="90"/>
      <c r="N18" s="298"/>
      <c r="O18" s="298"/>
      <c r="P18" s="298"/>
      <c r="Q18" s="298"/>
      <c r="R18" s="298"/>
      <c r="S18" s="298"/>
      <c r="T18" s="299"/>
      <c r="U18" s="299"/>
      <c r="V18" s="299"/>
      <c r="W18" s="299"/>
      <c r="X18" s="299"/>
      <c r="Y18" s="90"/>
    </row>
    <row r="19" spans="2:25" ht="15.75" thickBot="1" x14ac:dyDescent="0.3">
      <c r="B19" s="13" t="str">
        <f>IF(C19="Is the Population Center owner Friendly in the region?","",IF(J19="","*** ",""))</f>
        <v xml:space="preserve">*** </v>
      </c>
      <c r="C19" s="582" t="str">
        <f>IF(J15="Neutral","Is the Population Center owner Friendly in the region?",IF(J15="Human","Is the Population Center owner Friendly in the region?","Is the Population Center owner Friendly in the region ?"))</f>
        <v>Is the Population Center owner Friendly in the region ?</v>
      </c>
      <c r="D19" s="15"/>
      <c r="E19" s="15"/>
      <c r="F19" s="16"/>
      <c r="G19" s="15"/>
      <c r="H19" s="15"/>
      <c r="I19" s="15"/>
      <c r="J19" s="20"/>
      <c r="K19" s="490" t="str">
        <f>IF($O$57&gt;0,"",IF($J$15="","",IF($J$15="Neutral","",IF($J$15="Human","",IF($J$19="Yes",IF($J$21="Yes",IF($J$23="Yes","*",""),""),"")))))</f>
        <v/>
      </c>
      <c r="M19" s="90"/>
      <c r="N19" s="298"/>
      <c r="O19" s="298"/>
      <c r="P19" s="298"/>
      <c r="Q19" s="298"/>
      <c r="R19" s="298"/>
      <c r="S19" s="298"/>
      <c r="T19" s="299"/>
      <c r="U19" s="299"/>
      <c r="V19" s="299"/>
      <c r="W19" s="299"/>
      <c r="X19" s="299"/>
      <c r="Y19" s="90"/>
    </row>
    <row r="20" spans="2:25" ht="3.95" customHeight="1" thickBot="1" x14ac:dyDescent="0.3">
      <c r="B20" s="3"/>
      <c r="C20" s="100"/>
      <c r="D20" s="5"/>
      <c r="E20" s="5"/>
      <c r="F20" s="5"/>
      <c r="G20" s="5"/>
      <c r="H20" s="5"/>
      <c r="I20" s="5"/>
      <c r="J20" s="19"/>
      <c r="K20" s="4"/>
      <c r="M20" s="90"/>
      <c r="N20" s="298"/>
      <c r="O20" s="298"/>
      <c r="P20" s="298"/>
      <c r="Q20" s="298"/>
      <c r="R20" s="298"/>
      <c r="S20" s="298"/>
      <c r="T20" s="299"/>
      <c r="U20" s="299"/>
      <c r="V20" s="299"/>
      <c r="W20" s="299"/>
      <c r="X20" s="299"/>
      <c r="Y20" s="90"/>
    </row>
    <row r="21" spans="2:25" ht="15.75" thickBot="1" x14ac:dyDescent="0.3">
      <c r="B21" s="13" t="str">
        <f>IF(C21="Does the Population Center owner have Control of the region?","",IF(J21="","*** ",""))</f>
        <v xml:space="preserve">*** </v>
      </c>
      <c r="C21" s="582" t="str">
        <f>IF(J15="Neutral","Does the Population Center owner have Control of the region?",IF(J15="Human","Does the Population Center owner have Control of the region?","Does the Population Center owner have Control of the region ?"))</f>
        <v>Does the Population Center owner have Control of the region ?</v>
      </c>
      <c r="D21" s="15"/>
      <c r="E21" s="15"/>
      <c r="F21" s="15"/>
      <c r="G21" s="15"/>
      <c r="H21" s="15"/>
      <c r="I21" s="15"/>
      <c r="J21" s="20"/>
      <c r="K21" s="490" t="str">
        <f>IF($O$57&gt;0,"",IF($J$15="","",IF($J$15="Neutral","",IF($J$15="Human","",IF($J$19="Yes",IF($J$21="Yes",IF($J$23="Yes","*",""),""),"")))))</f>
        <v/>
      </c>
      <c r="M21" s="90"/>
      <c r="N21" s="298"/>
      <c r="O21" s="298"/>
      <c r="P21" s="298"/>
      <c r="Q21" s="298"/>
      <c r="R21" s="298"/>
      <c r="S21" s="298"/>
      <c r="T21" s="299"/>
      <c r="U21" s="299"/>
      <c r="V21" s="299"/>
      <c r="W21" s="299"/>
      <c r="X21" s="299"/>
      <c r="Y21" s="90"/>
    </row>
    <row r="22" spans="2:25" ht="3.95" customHeight="1" thickBot="1" x14ac:dyDescent="0.3">
      <c r="B22" s="3"/>
      <c r="C22" s="100"/>
      <c r="D22" s="5"/>
      <c r="E22" s="5"/>
      <c r="F22" s="5"/>
      <c r="G22" s="5"/>
      <c r="H22" s="5"/>
      <c r="I22" s="5"/>
      <c r="J22" s="19"/>
      <c r="K22" s="4"/>
      <c r="M22" s="90"/>
      <c r="N22" s="298"/>
      <c r="O22" s="298"/>
      <c r="P22" s="298"/>
      <c r="Q22" s="298"/>
      <c r="R22" s="298"/>
      <c r="S22" s="298"/>
      <c r="T22" s="299"/>
      <c r="U22" s="299"/>
      <c r="V22" s="299"/>
      <c r="W22" s="299"/>
      <c r="X22" s="299"/>
      <c r="Y22" s="90"/>
    </row>
    <row r="23" spans="2:25" ht="15.75" thickBot="1" x14ac:dyDescent="0.3">
      <c r="B23" s="13" t="str">
        <f>IF(C23="Has the Population Center owner declared you as an Enemy?","",IF(J23="","*** ",""))</f>
        <v xml:space="preserve">*** </v>
      </c>
      <c r="C23" s="582" t="str">
        <f>IF(J15="Neutral","Has the Population Center owner declared you as an Enemy?",IF(J15="Human","Has the Population Center owner declared you as an Enemy?","Has the Population Center owner declared you as an Enemy ?"))</f>
        <v>Has the Population Center owner declared you as an Enemy ?</v>
      </c>
      <c r="D23" s="15"/>
      <c r="E23" s="15"/>
      <c r="F23" s="15"/>
      <c r="G23" s="15"/>
      <c r="H23" s="15"/>
      <c r="I23" s="15"/>
      <c r="J23" s="20"/>
      <c r="K23" s="490" t="str">
        <f>IF($O$57&gt;0,"",IF($J$15="","",IF($J$15="Neutral","",IF($J$15="Human","",IF($J$19="Yes",IF($J$21="Yes",IF($J$23="Yes","*",""),""),"")))))</f>
        <v/>
      </c>
      <c r="M23" s="90"/>
      <c r="N23" s="298"/>
      <c r="O23" s="298"/>
      <c r="P23" s="298"/>
      <c r="Q23" s="298"/>
      <c r="R23" s="298"/>
      <c r="S23" s="298"/>
      <c r="T23" s="299"/>
      <c r="U23" s="299"/>
      <c r="V23" s="299"/>
      <c r="W23" s="299"/>
      <c r="X23" s="299"/>
      <c r="Y23" s="90"/>
    </row>
    <row r="24" spans="2:25" ht="3.95" customHeight="1" thickBot="1" x14ac:dyDescent="0.3">
      <c r="B24" s="3"/>
      <c r="C24" s="100"/>
      <c r="D24" s="5"/>
      <c r="E24" s="5"/>
      <c r="F24" s="5"/>
      <c r="G24" s="5"/>
      <c r="H24" s="5"/>
      <c r="I24" s="5"/>
      <c r="J24" s="19"/>
      <c r="K24" s="4"/>
      <c r="M24" s="90"/>
      <c r="N24" s="298"/>
      <c r="O24" s="298"/>
      <c r="P24" s="298"/>
      <c r="Q24" s="298"/>
      <c r="R24" s="298"/>
      <c r="S24" s="298"/>
      <c r="T24" s="299"/>
      <c r="U24" s="299"/>
      <c r="V24" s="299"/>
      <c r="W24" s="299"/>
      <c r="X24" s="299"/>
      <c r="Y24" s="90"/>
    </row>
    <row r="25" spans="2:25" ht="15.75" thickBot="1" x14ac:dyDescent="0.3">
      <c r="B25" s="13" t="str">
        <f>IF(I25="No","",IF(I25="","*** ",IF(N88=0,"*** ","")))</f>
        <v xml:space="preserve">*** </v>
      </c>
      <c r="C25" s="583" t="s">
        <v>247</v>
      </c>
      <c r="D25" s="5"/>
      <c r="E25" s="5"/>
      <c r="F25" s="5"/>
      <c r="G25" s="5"/>
      <c r="H25" s="101"/>
      <c r="I25" s="20"/>
      <c r="J25" s="325" t="s">
        <v>250</v>
      </c>
      <c r="K25" s="4"/>
      <c r="M25" s="90"/>
      <c r="N25" s="298"/>
      <c r="O25" s="298"/>
      <c r="P25" s="298"/>
      <c r="Q25" s="298"/>
      <c r="R25" s="298"/>
      <c r="S25" s="298"/>
      <c r="T25" s="299"/>
      <c r="U25" s="299"/>
      <c r="V25" s="299"/>
      <c r="W25" s="299"/>
      <c r="X25" s="299"/>
      <c r="Y25" s="90"/>
    </row>
    <row r="26" spans="2:25" ht="3.95" customHeight="1" x14ac:dyDescent="0.25">
      <c r="B26" s="3"/>
      <c r="C26" s="28"/>
      <c r="D26" s="5"/>
      <c r="E26" s="5"/>
      <c r="F26" s="5"/>
      <c r="G26" s="5"/>
      <c r="H26" s="5"/>
      <c r="I26" s="5"/>
      <c r="J26" s="19"/>
      <c r="K26" s="4"/>
      <c r="M26" s="90"/>
      <c r="N26" s="298"/>
      <c r="O26" s="298"/>
      <c r="P26" s="298"/>
      <c r="Q26" s="298"/>
      <c r="R26" s="298"/>
      <c r="S26" s="298"/>
      <c r="T26" s="299"/>
      <c r="U26" s="299"/>
      <c r="V26" s="299"/>
      <c r="W26" s="299"/>
      <c r="X26" s="299"/>
      <c r="Y26" s="90"/>
    </row>
    <row r="27" spans="2:25" x14ac:dyDescent="0.25">
      <c r="B27" s="27"/>
      <c r="C27" s="33" t="s">
        <v>221</v>
      </c>
      <c r="D27" s="5"/>
      <c r="E27" s="5"/>
      <c r="F27" s="5"/>
      <c r="G27" s="581" t="s">
        <v>833</v>
      </c>
      <c r="H27" s="581" t="s">
        <v>834</v>
      </c>
      <c r="I27" s="581" t="s">
        <v>835</v>
      </c>
      <c r="J27" s="581" t="s">
        <v>836</v>
      </c>
      <c r="K27" s="4"/>
      <c r="M27" s="90"/>
      <c r="N27" s="300" t="s">
        <v>224</v>
      </c>
      <c r="O27" s="300" t="s">
        <v>238</v>
      </c>
      <c r="P27" s="298"/>
      <c r="Q27" s="298"/>
      <c r="R27" s="298"/>
      <c r="S27" s="298"/>
      <c r="T27" s="299"/>
      <c r="U27" s="299"/>
      <c r="V27" s="299"/>
      <c r="W27" s="299"/>
      <c r="X27" s="299"/>
      <c r="Y27" s="90"/>
    </row>
    <row r="28" spans="2:25" x14ac:dyDescent="0.25">
      <c r="B28" s="13"/>
      <c r="C28" s="585" t="s">
        <v>837</v>
      </c>
      <c r="D28" s="5"/>
      <c r="E28" s="5"/>
      <c r="F28" s="588" t="str">
        <f>IF($N28="",CONCATENATE($O28,". "),CONCATENATE("[",$N28," trait] ",$O28,". "))</f>
        <v xml:space="preserve">1. </v>
      </c>
      <c r="G28" s="30"/>
      <c r="H28" s="30"/>
      <c r="I28" s="31"/>
      <c r="J28" s="31"/>
      <c r="K28" s="91" t="str">
        <f>IF($I$25="","",IF($I$25="No","",IF($G28="","",IF($H28="","",IF($I28="","",IF($J28="","","Ω"))))))</f>
        <v/>
      </c>
      <c r="M28" s="90"/>
      <c r="N28" s="355" t="str">
        <f>IF($K28="","",IF($G28="","",IF(VLOOKUP($G28,'Kingdom Traits Matrix'!$D$4:$S$27,16,FALSE)="●","Oratory","")))</f>
        <v/>
      </c>
      <c r="O28" s="356">
        <v>1</v>
      </c>
      <c r="P28" s="298"/>
      <c r="Q28" s="298"/>
      <c r="R28" s="298"/>
      <c r="S28" s="298"/>
      <c r="T28" s="299"/>
      <c r="U28" s="299"/>
      <c r="V28" s="299"/>
      <c r="W28" s="299"/>
      <c r="X28" s="299"/>
      <c r="Y28" s="90"/>
    </row>
    <row r="29" spans="2:25" x14ac:dyDescent="0.25">
      <c r="B29" s="13"/>
      <c r="C29" s="585" t="s">
        <v>838</v>
      </c>
      <c r="D29" s="32"/>
      <c r="E29" s="5"/>
      <c r="F29" s="588" t="str">
        <f>IF($N29="",CONCATENATE($O29,". "),CONCATENATE("[",$N29," trait] ",$O29,". "))</f>
        <v xml:space="preserve">2. </v>
      </c>
      <c r="G29" s="30"/>
      <c r="H29" s="30"/>
      <c r="I29" s="31"/>
      <c r="J29" s="31"/>
      <c r="K29" s="91" t="str">
        <f t="shared" ref="K29:K32" si="0">IF($I$25="","",IF($I$25="No","",IF($G29="","",IF($H29="","",IF($I29="","",IF($J29="","","Ω"))))))</f>
        <v/>
      </c>
      <c r="M29" s="90"/>
      <c r="N29" s="355" t="str">
        <f>IF($K29="","",IF($G29="","",IF(VLOOKUP($G29,'Kingdom Traits Matrix'!$D$4:$S$27,16,FALSE)="●","Oratory","")))</f>
        <v/>
      </c>
      <c r="O29" s="356">
        <v>2</v>
      </c>
      <c r="P29" s="298"/>
      <c r="Q29" s="298"/>
      <c r="R29" s="298"/>
      <c r="S29" s="298"/>
      <c r="T29" s="299"/>
      <c r="U29" s="299"/>
      <c r="V29" s="299"/>
      <c r="W29" s="299"/>
      <c r="X29" s="299"/>
      <c r="Y29" s="90"/>
    </row>
    <row r="30" spans="2:25" x14ac:dyDescent="0.25">
      <c r="B30" s="13"/>
      <c r="C30" s="585" t="s">
        <v>840</v>
      </c>
      <c r="D30" s="33"/>
      <c r="E30" s="5"/>
      <c r="F30" s="588" t="str">
        <f>IF($N30="",CONCATENATE($O30,". "),CONCATENATE("[",$N30," trait] ",$O30,". "))</f>
        <v xml:space="preserve">3. </v>
      </c>
      <c r="G30" s="30"/>
      <c r="H30" s="30"/>
      <c r="I30" s="31"/>
      <c r="J30" s="31"/>
      <c r="K30" s="91" t="str">
        <f t="shared" si="0"/>
        <v/>
      </c>
      <c r="M30" s="90"/>
      <c r="N30" s="355" t="str">
        <f>IF($K30="","",IF($G30="","",IF(VLOOKUP($G30,'Kingdom Traits Matrix'!$D$4:$S$27,16,FALSE)="●","Oratory","")))</f>
        <v/>
      </c>
      <c r="O30" s="356">
        <v>3</v>
      </c>
      <c r="P30" s="298"/>
      <c r="Q30" s="298"/>
      <c r="R30" s="298"/>
      <c r="S30" s="298"/>
      <c r="T30" s="299"/>
      <c r="U30" s="299"/>
      <c r="V30" s="299"/>
      <c r="W30" s="299"/>
      <c r="X30" s="299"/>
      <c r="Y30" s="90"/>
    </row>
    <row r="31" spans="2:25" x14ac:dyDescent="0.25">
      <c r="B31" s="13"/>
      <c r="C31" s="585" t="s">
        <v>841</v>
      </c>
      <c r="D31" s="33"/>
      <c r="E31" s="5"/>
      <c r="F31" s="588" t="str">
        <f>IF($N31="",CONCATENATE($O31,". "),CONCATENATE("[",$N31," trait] ",$O31,". "))</f>
        <v xml:space="preserve">4. </v>
      </c>
      <c r="G31" s="30"/>
      <c r="H31" s="30"/>
      <c r="I31" s="31"/>
      <c r="J31" s="31"/>
      <c r="K31" s="91" t="str">
        <f t="shared" si="0"/>
        <v/>
      </c>
      <c r="M31" s="90"/>
      <c r="N31" s="355" t="str">
        <f>IF($K31="","",IF($G31="","",IF(VLOOKUP($G31,'Kingdom Traits Matrix'!$D$4:$S$27,16,FALSE)="●","Oratory","")))</f>
        <v/>
      </c>
      <c r="O31" s="356">
        <v>4</v>
      </c>
      <c r="P31" s="298"/>
      <c r="Q31" s="298"/>
      <c r="R31" s="298"/>
      <c r="S31" s="298"/>
      <c r="T31" s="299"/>
      <c r="U31" s="299"/>
      <c r="V31" s="299"/>
      <c r="W31" s="299"/>
      <c r="X31" s="299"/>
      <c r="Y31" s="90"/>
    </row>
    <row r="32" spans="2:25" x14ac:dyDescent="0.25">
      <c r="B32" s="13"/>
      <c r="C32" s="586" t="s">
        <v>252</v>
      </c>
      <c r="D32" s="5"/>
      <c r="E32" s="5"/>
      <c r="F32" s="588" t="str">
        <f>IF($N32="",CONCATENATE($O32,". "),CONCATENATE("[",$N32," trait] ",$O32,". "))</f>
        <v xml:space="preserve">5. </v>
      </c>
      <c r="G32" s="30"/>
      <c r="H32" s="30"/>
      <c r="I32" s="31"/>
      <c r="J32" s="31"/>
      <c r="K32" s="91" t="str">
        <f t="shared" si="0"/>
        <v/>
      </c>
      <c r="M32" s="90"/>
      <c r="N32" s="355" t="str">
        <f>IF($K32="","",IF($G32="","",IF(VLOOKUP($G32,'Kingdom Traits Matrix'!$D$4:$S$27,16,FALSE)="●","Oratory","")))</f>
        <v/>
      </c>
      <c r="O32" s="356">
        <v>5</v>
      </c>
      <c r="P32" s="298"/>
      <c r="Q32" s="298"/>
      <c r="R32" s="298"/>
      <c r="S32" s="298"/>
      <c r="T32" s="299"/>
      <c r="U32" s="299"/>
      <c r="V32" s="299"/>
      <c r="W32" s="299"/>
      <c r="X32" s="299"/>
      <c r="Y32" s="90"/>
    </row>
    <row r="33" spans="2:25" ht="3.95" customHeight="1" x14ac:dyDescent="0.25">
      <c r="B33" s="3"/>
      <c r="C33" s="14"/>
      <c r="D33" s="15"/>
      <c r="E33" s="15"/>
      <c r="F33" s="15"/>
      <c r="G33" s="15"/>
      <c r="H33" s="15"/>
      <c r="I33" s="15"/>
      <c r="J33" s="40"/>
      <c r="K33" s="91"/>
      <c r="M33" s="90"/>
      <c r="N33" s="298"/>
      <c r="O33" s="298"/>
      <c r="P33" s="298"/>
      <c r="Q33" s="298"/>
      <c r="R33" s="298"/>
      <c r="S33" s="298"/>
      <c r="T33" s="299"/>
      <c r="U33" s="299"/>
      <c r="V33" s="299"/>
      <c r="W33" s="299"/>
      <c r="X33" s="299"/>
      <c r="Y33" s="90"/>
    </row>
    <row r="34" spans="2:25" ht="3.95" customHeight="1" thickBot="1" x14ac:dyDescent="0.3">
      <c r="B34" s="3"/>
      <c r="C34" s="18"/>
      <c r="D34" s="5"/>
      <c r="E34" s="5"/>
      <c r="F34" s="5"/>
      <c r="G34" s="5"/>
      <c r="H34" s="5"/>
      <c r="I34" s="5"/>
      <c r="J34" s="19"/>
      <c r="K34" s="91"/>
      <c r="M34" s="90"/>
      <c r="N34" s="298"/>
      <c r="O34" s="298"/>
      <c r="P34" s="298"/>
      <c r="Q34" s="298"/>
      <c r="R34" s="298"/>
      <c r="S34" s="298"/>
      <c r="T34" s="299"/>
      <c r="U34" s="299"/>
      <c r="V34" s="299"/>
      <c r="W34" s="299"/>
      <c r="X34" s="299"/>
      <c r="Y34" s="90"/>
    </row>
    <row r="35" spans="2:25" ht="15.75" thickBot="1" x14ac:dyDescent="0.3">
      <c r="B35" s="13" t="str">
        <f>IF(I35="No","",IF(I35="","*** ",IF(N95=0,"*** ","")))</f>
        <v xml:space="preserve">*** </v>
      </c>
      <c r="C35" s="583" t="s">
        <v>248</v>
      </c>
      <c r="D35" s="5"/>
      <c r="E35" s="5"/>
      <c r="F35" s="5"/>
      <c r="G35" s="5"/>
      <c r="H35" s="101"/>
      <c r="I35" s="20"/>
      <c r="J35" s="325" t="s">
        <v>251</v>
      </c>
      <c r="K35" s="91"/>
      <c r="M35" s="90"/>
      <c r="N35" s="298"/>
      <c r="O35" s="298"/>
      <c r="P35" s="298"/>
      <c r="Q35" s="298"/>
      <c r="R35" s="298"/>
      <c r="S35" s="298"/>
      <c r="T35" s="299"/>
      <c r="U35" s="299"/>
      <c r="V35" s="299"/>
      <c r="W35" s="299"/>
      <c r="X35" s="299"/>
      <c r="Y35" s="90"/>
    </row>
    <row r="36" spans="2:25" ht="3.95" customHeight="1" x14ac:dyDescent="0.25">
      <c r="B36" s="3"/>
      <c r="C36" s="28"/>
      <c r="D36" s="5"/>
      <c r="E36" s="5"/>
      <c r="F36" s="5"/>
      <c r="G36" s="5"/>
      <c r="H36" s="5"/>
      <c r="I36" s="5"/>
      <c r="J36" s="19"/>
      <c r="K36" s="91"/>
      <c r="M36" s="90"/>
      <c r="N36" s="298"/>
      <c r="O36" s="298"/>
      <c r="P36" s="298"/>
      <c r="Q36" s="298"/>
      <c r="R36" s="298"/>
      <c r="S36" s="298"/>
      <c r="T36" s="299"/>
      <c r="U36" s="299"/>
      <c r="V36" s="299"/>
      <c r="W36" s="299"/>
      <c r="X36" s="299"/>
      <c r="Y36" s="90"/>
    </row>
    <row r="37" spans="2:25" x14ac:dyDescent="0.25">
      <c r="B37" s="27"/>
      <c r="C37" s="33" t="s">
        <v>221</v>
      </c>
      <c r="D37" s="5"/>
      <c r="E37" s="5"/>
      <c r="F37" s="5"/>
      <c r="G37" s="581" t="s">
        <v>833</v>
      </c>
      <c r="H37" s="581" t="s">
        <v>834</v>
      </c>
      <c r="I37" s="581" t="s">
        <v>835</v>
      </c>
      <c r="J37" s="581" t="s">
        <v>836</v>
      </c>
      <c r="K37" s="91"/>
      <c r="M37" s="90"/>
      <c r="N37" s="300" t="s">
        <v>225</v>
      </c>
      <c r="O37" s="300" t="s">
        <v>238</v>
      </c>
      <c r="P37" s="298"/>
      <c r="Q37" s="298"/>
      <c r="R37" s="298"/>
      <c r="S37" s="298"/>
      <c r="T37" s="299"/>
      <c r="U37" s="299"/>
      <c r="V37" s="299"/>
      <c r="W37" s="299"/>
      <c r="X37" s="299"/>
      <c r="Y37" s="90"/>
    </row>
    <row r="38" spans="2:25" x14ac:dyDescent="0.25">
      <c r="B38" s="13"/>
      <c r="C38" s="585" t="s">
        <v>837</v>
      </c>
      <c r="D38" s="5"/>
      <c r="E38" s="5"/>
      <c r="F38" s="588" t="str">
        <f>IF($N38="",CONCATENATE($O38,". "),CONCATENATE("[",$N38," trait] ",$O38,". "))</f>
        <v xml:space="preserve">1. </v>
      </c>
      <c r="G38" s="30"/>
      <c r="H38" s="30"/>
      <c r="I38" s="31"/>
      <c r="J38" s="31"/>
      <c r="K38" s="91" t="str">
        <f>IF($I$35="","",IF($I$35="No","",IF($G$38="","",IF($H38="","",IF($I38="","",IF($J38="","","ψ"))))))</f>
        <v/>
      </c>
      <c r="M38" s="90"/>
      <c r="N38" s="355" t="str">
        <f>IF($K38="","",IF($G38="","",IF(VLOOKUP($G38,'Kingdom Traits Matrix'!$D$4:$I$27,6,FALSE)="●","Cunning","")))</f>
        <v/>
      </c>
      <c r="O38" s="356">
        <v>1</v>
      </c>
      <c r="P38" s="298"/>
      <c r="Q38" s="298"/>
      <c r="R38" s="298"/>
      <c r="S38" s="298"/>
      <c r="T38" s="299"/>
      <c r="U38" s="299"/>
      <c r="V38" s="299"/>
      <c r="W38" s="299"/>
      <c r="X38" s="299"/>
      <c r="Y38" s="90"/>
    </row>
    <row r="39" spans="2:25" x14ac:dyDescent="0.25">
      <c r="B39" s="13"/>
      <c r="C39" s="585" t="s">
        <v>838</v>
      </c>
      <c r="D39" s="32"/>
      <c r="E39" s="5"/>
      <c r="F39" s="588" t="str">
        <f>IF($N39="",CONCATENATE($O39,". "),CONCATENATE("[",$N39," trait] ",$O39,". "))</f>
        <v xml:space="preserve">2. </v>
      </c>
      <c r="G39" s="30"/>
      <c r="H39" s="30"/>
      <c r="I39" s="31"/>
      <c r="J39" s="31"/>
      <c r="K39" s="91" t="str">
        <f t="shared" ref="K39:K42" si="1">IF($I$35="","",IF($I$35="No","",IF($G$38="","",IF($H39="","",IF($I39="","",IF($J39="","","ψ"))))))</f>
        <v/>
      </c>
      <c r="M39" s="90"/>
      <c r="N39" s="355" t="str">
        <f>IF($K39="","",IF($G39="","",IF(VLOOKUP($G39,'Kingdom Traits Matrix'!$D$4:$I$27,6,FALSE)="●","Cunning","")))</f>
        <v/>
      </c>
      <c r="O39" s="356">
        <v>2</v>
      </c>
      <c r="P39" s="298"/>
      <c r="Q39" s="298"/>
      <c r="R39" s="298"/>
      <c r="S39" s="298"/>
      <c r="T39" s="299"/>
      <c r="U39" s="299"/>
      <c r="V39" s="299"/>
      <c r="W39" s="299"/>
      <c r="X39" s="299"/>
      <c r="Y39" s="90"/>
    </row>
    <row r="40" spans="2:25" x14ac:dyDescent="0.25">
      <c r="B40" s="13"/>
      <c r="C40" s="585" t="s">
        <v>840</v>
      </c>
      <c r="D40" s="33"/>
      <c r="E40" s="5"/>
      <c r="F40" s="588" t="str">
        <f>IF($N40="",CONCATENATE($O40,". "),CONCATENATE("[",$N40," trait] ",$O40,". "))</f>
        <v xml:space="preserve">3. </v>
      </c>
      <c r="G40" s="30"/>
      <c r="H40" s="30"/>
      <c r="I40" s="31"/>
      <c r="J40" s="31"/>
      <c r="K40" s="91" t="str">
        <f t="shared" si="1"/>
        <v/>
      </c>
      <c r="M40" s="90"/>
      <c r="N40" s="355" t="str">
        <f>IF($K40="","",IF($G40="","",IF(VLOOKUP($G40,'Kingdom Traits Matrix'!$D$4:$I$27,6,FALSE)="●","Cunning","")))</f>
        <v/>
      </c>
      <c r="O40" s="356">
        <v>3</v>
      </c>
      <c r="P40" s="298"/>
      <c r="Q40" s="298"/>
      <c r="R40" s="298"/>
      <c r="S40" s="298"/>
      <c r="T40" s="299"/>
      <c r="U40" s="299"/>
      <c r="V40" s="299"/>
      <c r="W40" s="299"/>
      <c r="X40" s="299"/>
      <c r="Y40" s="90"/>
    </row>
    <row r="41" spans="2:25" x14ac:dyDescent="0.25">
      <c r="B41" s="13"/>
      <c r="C41" s="585" t="s">
        <v>841</v>
      </c>
      <c r="D41" s="33"/>
      <c r="E41" s="5"/>
      <c r="F41" s="588" t="str">
        <f>IF($N41="",CONCATENATE($O41,". "),CONCATENATE("[",$N41," trait] ",$O41,". "))</f>
        <v xml:space="preserve">4. </v>
      </c>
      <c r="G41" s="30"/>
      <c r="H41" s="30"/>
      <c r="I41" s="31"/>
      <c r="J41" s="31"/>
      <c r="K41" s="91" t="str">
        <f t="shared" si="1"/>
        <v/>
      </c>
      <c r="M41" s="90"/>
      <c r="N41" s="355" t="str">
        <f>IF($K41="","",IF($G41="","",IF(VLOOKUP($G41,'Kingdom Traits Matrix'!$D$4:$I$27,6,FALSE)="●","Cunning","")))</f>
        <v/>
      </c>
      <c r="O41" s="356">
        <v>4</v>
      </c>
      <c r="P41" s="298"/>
      <c r="Q41" s="298"/>
      <c r="R41" s="298"/>
      <c r="S41" s="298"/>
      <c r="T41" s="299"/>
      <c r="U41" s="299"/>
      <c r="V41" s="299"/>
      <c r="W41" s="299"/>
      <c r="X41" s="299"/>
      <c r="Y41" s="90"/>
    </row>
    <row r="42" spans="2:25" x14ac:dyDescent="0.25">
      <c r="B42" s="13"/>
      <c r="C42" s="586" t="s">
        <v>252</v>
      </c>
      <c r="D42" s="5"/>
      <c r="E42" s="5"/>
      <c r="F42" s="588" t="str">
        <f>IF($N42="",CONCATENATE($O42,". "),CONCATENATE("[",$N42," trait] ",$O42,". "))</f>
        <v xml:space="preserve">5. </v>
      </c>
      <c r="G42" s="30"/>
      <c r="H42" s="30"/>
      <c r="I42" s="31"/>
      <c r="J42" s="31"/>
      <c r="K42" s="91" t="str">
        <f t="shared" si="1"/>
        <v/>
      </c>
      <c r="M42" s="90"/>
      <c r="N42" s="355" t="str">
        <f>IF($K42="","",IF($G42="","",IF(VLOOKUP($G42,'Kingdom Traits Matrix'!$D$4:$I$27,6,FALSE)="●","Cunning","")))</f>
        <v/>
      </c>
      <c r="O42" s="356">
        <v>5</v>
      </c>
      <c r="P42" s="298"/>
      <c r="Q42" s="298"/>
      <c r="R42" s="298"/>
      <c r="S42" s="298"/>
      <c r="T42" s="299"/>
      <c r="U42" s="299"/>
      <c r="V42" s="299"/>
      <c r="W42" s="299"/>
      <c r="X42" s="299"/>
      <c r="Y42" s="90"/>
    </row>
    <row r="43" spans="2:25" ht="3.95" customHeight="1" thickBot="1" x14ac:dyDescent="0.3">
      <c r="B43" s="6"/>
      <c r="C43" s="34"/>
      <c r="D43" s="34"/>
      <c r="E43" s="7"/>
      <c r="F43" s="7"/>
      <c r="G43" s="7"/>
      <c r="H43" s="7"/>
      <c r="I43" s="7"/>
      <c r="J43" s="7"/>
      <c r="K43" s="8"/>
      <c r="M43" s="90"/>
      <c r="N43" s="298"/>
      <c r="O43" s="298"/>
      <c r="P43" s="298"/>
      <c r="Q43" s="298"/>
      <c r="R43" s="298"/>
      <c r="S43" s="298"/>
      <c r="T43" s="299"/>
      <c r="U43" s="299"/>
      <c r="V43" s="299"/>
      <c r="W43" s="299"/>
      <c r="X43" s="299"/>
      <c r="Y43" s="90"/>
    </row>
    <row r="44" spans="2:25" ht="3.75" customHeight="1" thickTop="1" thickBot="1" x14ac:dyDescent="0.3">
      <c r="M44" s="90"/>
      <c r="N44" s="298"/>
      <c r="O44" s="298"/>
      <c r="P44" s="298"/>
      <c r="Q44" s="298"/>
      <c r="R44" s="298"/>
      <c r="S44" s="298"/>
      <c r="T44" s="299"/>
      <c r="U44" s="299"/>
      <c r="V44" s="299"/>
      <c r="W44" s="299"/>
      <c r="X44" s="299"/>
      <c r="Y44" s="90"/>
    </row>
    <row r="45" spans="2:25" ht="8.1" customHeight="1" thickTop="1" thickBot="1" x14ac:dyDescent="0.3">
      <c r="B45" s="77"/>
      <c r="C45" s="77"/>
      <c r="D45" s="77"/>
      <c r="E45" s="77"/>
      <c r="F45" s="78"/>
      <c r="G45" s="1"/>
      <c r="H45" s="35"/>
      <c r="I45" s="35"/>
      <c r="J45" s="36"/>
      <c r="K45" s="2"/>
      <c r="M45" s="90"/>
      <c r="N45" s="298"/>
      <c r="O45" s="298"/>
      <c r="P45" s="298"/>
      <c r="Q45" s="298"/>
      <c r="R45" s="298"/>
      <c r="S45" s="298"/>
      <c r="T45" s="299"/>
      <c r="U45" s="299"/>
      <c r="V45" s="299"/>
      <c r="W45" s="299"/>
      <c r="X45" s="299"/>
      <c r="Y45" s="90"/>
    </row>
    <row r="46" spans="2:25" ht="15.75" customHeight="1" thickBot="1" x14ac:dyDescent="0.3">
      <c r="B46" s="79"/>
      <c r="C46" s="79"/>
      <c r="D46" s="79"/>
      <c r="E46" s="79"/>
      <c r="F46" s="80"/>
      <c r="G46" s="693" t="s">
        <v>712</v>
      </c>
      <c r="H46" s="694"/>
      <c r="I46" s="695"/>
      <c r="J46" s="89"/>
      <c r="K46" s="4"/>
      <c r="M46" s="90"/>
      <c r="N46" s="298"/>
      <c r="O46" s="298"/>
      <c r="P46" s="298"/>
      <c r="Q46" s="298"/>
      <c r="R46" s="298"/>
      <c r="S46" s="298"/>
      <c r="T46" s="299"/>
      <c r="U46" s="299"/>
      <c r="V46" s="299"/>
      <c r="W46" s="299"/>
      <c r="X46" s="299"/>
      <c r="Y46" s="90"/>
    </row>
    <row r="47" spans="2:25" ht="8.1" customHeight="1" thickTop="1" x14ac:dyDescent="0.25">
      <c r="B47" s="3"/>
      <c r="C47" s="5"/>
      <c r="D47" s="5"/>
      <c r="E47" s="5"/>
      <c r="F47" s="4"/>
      <c r="G47" s="81"/>
      <c r="H47" s="76"/>
      <c r="I47" s="76"/>
      <c r="J47" s="84"/>
      <c r="K47" s="4"/>
      <c r="M47" s="90"/>
      <c r="N47" s="298"/>
      <c r="O47" s="298"/>
      <c r="P47" s="298"/>
      <c r="Q47" s="298"/>
      <c r="R47" s="298"/>
      <c r="S47" s="298"/>
      <c r="T47" s="299"/>
      <c r="U47" s="299"/>
      <c r="V47" s="299"/>
      <c r="W47" s="299"/>
      <c r="X47" s="299"/>
      <c r="Y47" s="90"/>
    </row>
    <row r="48" spans="2:25" ht="15.75" customHeight="1" x14ac:dyDescent="0.25">
      <c r="B48" s="85" t="s">
        <v>222</v>
      </c>
      <c r="C48" s="82"/>
      <c r="D48" s="102" t="str">
        <f>IF($O$57&gt;0,"",IF($R$60="Yes","This order cannot be used on a Capital",IF($S$60="Yes","Owner: Control + Friendly + Enemy = Fail",IF($P$60=1,"See probabilities below","This order requires a General or higher"))))</f>
        <v/>
      </c>
      <c r="E48" s="83"/>
      <c r="F48" s="4"/>
      <c r="G48" s="88" t="s">
        <v>222</v>
      </c>
      <c r="H48" s="86"/>
      <c r="I48" s="103" t="str">
        <f>IF($O$57&gt;0,"",IF($J$46="","",IF($R$60="Yes","This order cannot be used on a Capital",IF($S$60="Yes","Owner: Control + Friendly + Enemy = Fail","See probabilities below"))))</f>
        <v/>
      </c>
      <c r="J48" s="87"/>
      <c r="K48" s="4"/>
      <c r="M48" s="90"/>
      <c r="N48" s="298"/>
      <c r="O48" s="298"/>
      <c r="P48" s="298"/>
      <c r="Q48" s="298"/>
      <c r="R48" s="298"/>
      <c r="S48" s="298"/>
      <c r="T48" s="299"/>
      <c r="U48" s="299"/>
      <c r="V48" s="299"/>
      <c r="W48" s="299"/>
      <c r="X48" s="299"/>
      <c r="Y48" s="90"/>
    </row>
    <row r="49" spans="2:25" ht="8.1" customHeight="1" x14ac:dyDescent="0.25">
      <c r="B49" s="3"/>
      <c r="C49" s="5"/>
      <c r="D49" s="5"/>
      <c r="E49" s="5"/>
      <c r="F49" s="5"/>
      <c r="G49" s="3"/>
      <c r="H49" s="5"/>
      <c r="I49" s="5"/>
      <c r="J49" s="5"/>
      <c r="K49" s="4"/>
      <c r="M49" s="90"/>
      <c r="N49" s="298"/>
      <c r="O49" s="298"/>
      <c r="P49" s="298"/>
      <c r="Q49" s="298"/>
      <c r="R49" s="298"/>
      <c r="S49" s="298"/>
      <c r="T49" s="299"/>
      <c r="U49" s="299"/>
      <c r="V49" s="299"/>
      <c r="W49" s="299"/>
      <c r="X49" s="299"/>
      <c r="Y49" s="90"/>
    </row>
    <row r="50" spans="2:25" ht="15.75" x14ac:dyDescent="0.25">
      <c r="B50" s="3"/>
      <c r="C50" s="689" t="s">
        <v>710</v>
      </c>
      <c r="D50" s="689"/>
      <c r="E50" s="689"/>
      <c r="F50" s="5"/>
      <c r="G50" s="3"/>
      <c r="H50" s="690" t="s">
        <v>711</v>
      </c>
      <c r="I50" s="690"/>
      <c r="J50" s="690"/>
      <c r="K50" s="4"/>
      <c r="M50" s="90"/>
      <c r="N50" s="298"/>
      <c r="O50" s="298"/>
      <c r="P50" s="298"/>
      <c r="Q50" s="298"/>
      <c r="R50" s="298"/>
      <c r="S50" s="298"/>
      <c r="T50" s="299"/>
      <c r="U50" s="299"/>
      <c r="V50" s="299"/>
      <c r="W50" s="299"/>
      <c r="X50" s="299"/>
      <c r="Y50" s="90"/>
    </row>
    <row r="51" spans="2:25" ht="3.95" customHeight="1" x14ac:dyDescent="0.25">
      <c r="B51" s="3"/>
      <c r="C51" s="12"/>
      <c r="D51" s="12"/>
      <c r="E51" s="5"/>
      <c r="F51" s="5"/>
      <c r="G51" s="3"/>
      <c r="H51" s="5"/>
      <c r="I51" s="5"/>
      <c r="J51" s="5"/>
      <c r="K51" s="4"/>
      <c r="M51" s="90"/>
      <c r="N51" s="298"/>
      <c r="O51" s="298"/>
      <c r="P51" s="298"/>
      <c r="Q51" s="298"/>
      <c r="R51" s="298"/>
      <c r="S51" s="298"/>
      <c r="T51" s="299"/>
      <c r="U51" s="299"/>
      <c r="V51" s="299"/>
      <c r="W51" s="299"/>
      <c r="X51" s="299"/>
      <c r="Y51" s="90"/>
    </row>
    <row r="52" spans="2:25" ht="17.100000000000001" customHeight="1" x14ac:dyDescent="0.25">
      <c r="B52" s="3"/>
      <c r="C52" s="577" t="s">
        <v>7</v>
      </c>
      <c r="D52" s="578" t="s">
        <v>8</v>
      </c>
      <c r="E52" s="577" t="s">
        <v>9</v>
      </c>
      <c r="F52" s="579"/>
      <c r="G52" s="580"/>
      <c r="H52" s="577" t="s">
        <v>7</v>
      </c>
      <c r="I52" s="578" t="s">
        <v>8</v>
      </c>
      <c r="J52" s="577" t="s">
        <v>9</v>
      </c>
      <c r="K52" s="4"/>
      <c r="M52" s="90"/>
      <c r="N52" s="298"/>
      <c r="O52" s="298"/>
      <c r="P52" s="298"/>
      <c r="Q52" s="298"/>
      <c r="R52" s="298"/>
      <c r="S52" s="298"/>
      <c r="T52" s="299"/>
      <c r="U52" s="299"/>
      <c r="V52" s="299"/>
      <c r="W52" s="299"/>
      <c r="X52" s="299"/>
      <c r="Y52" s="90"/>
    </row>
    <row r="53" spans="2:25" ht="27.95" customHeight="1" x14ac:dyDescent="0.25">
      <c r="B53" s="3"/>
      <c r="C53" s="587" t="str">
        <f>IF($O$57&gt;0,"",IF($D$48="","",IF($D$48&lt;&gt;"See probabilities below","Failure Imminent",IF(O$70&gt;1.09,"Probable Success",IF(O$70&gt;0.98,"Questionable","Failure Imminent")))))</f>
        <v/>
      </c>
      <c r="D53" s="587" t="str">
        <f>IF($O$57&gt;0,"",IF($D$48="","",IF($D$48&lt;&gt;"See probabilities below","Failure Imminent",IF(P$70&gt;1.09,"Probable Success",IF(P$70&gt;0.98,"Questionable","Failure Imminent")))))</f>
        <v/>
      </c>
      <c r="E53" s="587" t="str">
        <f>IF($O$57&gt;0,"",IF($D$48="","",IF($D$48&lt;&gt;"See probabilities below","Failure Imminent",IF(Q$70&gt;1.09,"Probable Success",IF(Q$70&gt;0.98,"Questionable","Failure Imminent")))))</f>
        <v/>
      </c>
      <c r="F53" s="5"/>
      <c r="G53" s="3"/>
      <c r="H53" s="587" t="str">
        <f>IF($O$57&gt;0,"",IF($J$46="","",IF($I$48="","",IF($I$48&lt;&gt;"See probabilities below","Failure Imminent",IF(O$71&gt;1.09,"Probable Success",IF(O$71&gt;0.98,"Questionable","Failure Imminent"))))))</f>
        <v/>
      </c>
      <c r="I53" s="587" t="str">
        <f>IF($O$57&gt;0,"",IF($J$46="","",IF($I$48="","",IF($I$48&lt;&gt;"See probabilities below","Failure Imminent",IF(P$71&gt;1.09,"Probable Success",IF(P$71&gt;0.98,"Questionable","Failure Imminent"))))))</f>
        <v/>
      </c>
      <c r="J53" s="587" t="str">
        <f>IF($O$57&gt;0,"",IF($J$46="","",IF($I$48="","",IF($I$48&lt;&gt;"See probabilities below","Failure Imminent",IF(Q$71&gt;1.09,"Probable Success",IF(Q$71&gt;0.98,"Questionable","Failure Imminent"))))))</f>
        <v/>
      </c>
      <c r="K53" s="4"/>
      <c r="M53" s="90"/>
      <c r="N53" s="298"/>
      <c r="O53" s="298"/>
      <c r="P53" s="298"/>
      <c r="Q53" s="298"/>
      <c r="R53" s="298"/>
      <c r="S53" s="298"/>
      <c r="T53" s="299"/>
      <c r="U53" s="299"/>
      <c r="V53" s="299"/>
      <c r="W53" s="299"/>
      <c r="X53" s="299"/>
      <c r="Y53" s="90"/>
    </row>
    <row r="54" spans="2:25" ht="3.95" customHeight="1" thickBot="1" x14ac:dyDescent="0.3">
      <c r="B54" s="6"/>
      <c r="C54" s="7"/>
      <c r="D54" s="7"/>
      <c r="E54" s="7"/>
      <c r="F54" s="7"/>
      <c r="G54" s="6"/>
      <c r="H54" s="7"/>
      <c r="I54" s="7"/>
      <c r="J54" s="7"/>
      <c r="K54" s="8"/>
      <c r="M54" s="90"/>
      <c r="N54" s="298"/>
      <c r="O54" s="298"/>
      <c r="P54" s="298"/>
      <c r="Q54" s="298"/>
      <c r="R54" s="298"/>
      <c r="S54" s="298"/>
      <c r="T54" s="299"/>
      <c r="U54" s="299"/>
      <c r="V54" s="299"/>
      <c r="W54" s="299"/>
      <c r="X54" s="299"/>
      <c r="Y54" s="90"/>
    </row>
    <row r="55" spans="2:25" ht="15.75" thickTop="1" x14ac:dyDescent="0.25">
      <c r="M55" s="90"/>
      <c r="N55" s="301"/>
      <c r="O55" s="301"/>
      <c r="P55" s="301"/>
      <c r="Q55" s="301"/>
      <c r="R55" s="301"/>
      <c r="S55" s="301"/>
      <c r="T55" s="299"/>
      <c r="U55" s="299"/>
      <c r="V55" s="299"/>
      <c r="W55" s="299"/>
      <c r="X55" s="299"/>
      <c r="Y55" s="90"/>
    </row>
    <row r="56" spans="2:25" ht="36.75" x14ac:dyDescent="0.25">
      <c r="M56" s="90"/>
      <c r="N56" s="301"/>
      <c r="O56" s="301"/>
      <c r="P56" s="301"/>
      <c r="Q56" s="302" t="s">
        <v>10</v>
      </c>
      <c r="R56" s="301"/>
      <c r="S56" s="301"/>
      <c r="T56" s="299"/>
      <c r="U56" s="303" t="s">
        <v>241</v>
      </c>
      <c r="V56" s="304" t="s">
        <v>242</v>
      </c>
      <c r="W56" s="304" t="s">
        <v>243</v>
      </c>
      <c r="X56" s="305" t="s">
        <v>244</v>
      </c>
      <c r="Y56" s="90"/>
    </row>
    <row r="57" spans="2:25" x14ac:dyDescent="0.25">
      <c r="M57" s="90"/>
      <c r="N57" s="306" t="s">
        <v>11</v>
      </c>
      <c r="O57" s="360">
        <f>COUNTIF(B3:B43,"*** ")</f>
        <v>11</v>
      </c>
      <c r="P57" s="301"/>
      <c r="Q57" s="301"/>
      <c r="R57" s="301"/>
      <c r="S57" s="301"/>
      <c r="T57" s="299"/>
      <c r="U57" s="307" t="s">
        <v>25</v>
      </c>
      <c r="V57" s="308"/>
      <c r="W57" s="308"/>
      <c r="X57" s="309"/>
      <c r="Y57" s="90"/>
    </row>
    <row r="58" spans="2:25" x14ac:dyDescent="0.25">
      <c r="M58" s="90"/>
      <c r="N58" s="301"/>
      <c r="O58" s="301"/>
      <c r="P58" s="301"/>
      <c r="Q58" s="301"/>
      <c r="R58" s="301"/>
      <c r="S58" s="301"/>
      <c r="T58" s="299"/>
      <c r="U58" s="310" t="s">
        <v>208</v>
      </c>
      <c r="V58" s="311"/>
      <c r="W58" s="311"/>
      <c r="X58" s="312"/>
      <c r="Y58" s="90"/>
    </row>
    <row r="59" spans="2:25" x14ac:dyDescent="0.25">
      <c r="M59" s="90"/>
      <c r="N59" s="313" t="s">
        <v>233</v>
      </c>
      <c r="O59" s="313" t="s">
        <v>234</v>
      </c>
      <c r="P59" s="314" t="s">
        <v>235</v>
      </c>
      <c r="Q59" s="313" t="s">
        <v>236</v>
      </c>
      <c r="R59" s="314" t="s">
        <v>34</v>
      </c>
      <c r="S59" s="313" t="s">
        <v>223</v>
      </c>
      <c r="T59" s="299"/>
      <c r="U59" s="310" t="s">
        <v>36</v>
      </c>
      <c r="V59" s="311" t="str">
        <f>IF($I$25="","",IF($I$25="No","n/a",$U59))</f>
        <v/>
      </c>
      <c r="W59" s="311" t="str">
        <f>IF($I$35="","",IF($I$35="No","n/a",$U59))</f>
        <v/>
      </c>
      <c r="X59" s="312" t="s">
        <v>35</v>
      </c>
      <c r="Y59" s="90"/>
    </row>
    <row r="60" spans="2:25" x14ac:dyDescent="0.25">
      <c r="M60" s="90"/>
      <c r="N60" s="333">
        <f>IF($J$6="",0,IF($J$6="Warlord",1.25,1))</f>
        <v>0</v>
      </c>
      <c r="O60" s="333">
        <f>IF($J$8="",0,IF($J$8="Friendly",1.5,IF($J$8="Tolerant",2.5,IF($J$8="Suspicious",3.5,4.5))))</f>
        <v>0</v>
      </c>
      <c r="P60" s="334">
        <f>IF($J$6="",0,IF($J$6="Warlord",1,IF($J$6="Marshal Class",1,IF($J$6="General Class",1,0.75))))</f>
        <v>0</v>
      </c>
      <c r="Q60" s="335">
        <f>IF($J$46="",0,1+($J$46*0.3))</f>
        <v>0</v>
      </c>
      <c r="R60" s="336" t="str">
        <f>IF(LEN($J$15)=2,IF($J$17="Yes","Yes","No"),"No")</f>
        <v>No</v>
      </c>
      <c r="S60" s="337" t="str">
        <f>IF(LEN($J$15)&lt;&gt;2,"No",IF($J$19="Yes",IF($J$21="Yes",IF($J$23="Yes","Yes","No"),"No"),"No"))</f>
        <v>No</v>
      </c>
      <c r="T60" s="299"/>
      <c r="U60" s="310" t="s">
        <v>38</v>
      </c>
      <c r="V60" s="311" t="str">
        <f t="shared" ref="V60:V82" si="2">IF($I$25="","",IF($I$25="No","n/a",$U60))</f>
        <v/>
      </c>
      <c r="W60" s="311" t="str">
        <f t="shared" ref="W60:W82" si="3">IF($I$35="","",IF($I$35="No","n/a",$U60))</f>
        <v/>
      </c>
      <c r="X60" s="312" t="s">
        <v>37</v>
      </c>
      <c r="Y60" s="90"/>
    </row>
    <row r="61" spans="2:25" x14ac:dyDescent="0.25">
      <c r="M61" s="90"/>
      <c r="N61" s="301"/>
      <c r="O61" s="301"/>
      <c r="P61" s="315"/>
      <c r="Q61" s="301"/>
      <c r="R61" s="301"/>
      <c r="S61" s="301"/>
      <c r="T61" s="299"/>
      <c r="U61" s="310" t="s">
        <v>40</v>
      </c>
      <c r="V61" s="311" t="str">
        <f t="shared" si="2"/>
        <v/>
      </c>
      <c r="W61" s="311" t="str">
        <f t="shared" si="3"/>
        <v/>
      </c>
      <c r="X61" s="312" t="s">
        <v>39</v>
      </c>
      <c r="Y61" s="90"/>
    </row>
    <row r="62" spans="2:25" x14ac:dyDescent="0.25">
      <c r="M62" s="90"/>
      <c r="N62" s="306" t="s">
        <v>12</v>
      </c>
      <c r="O62" s="338">
        <f>IF($O$60=0,0,IF($N$60=0,0,($J$4/$O$60)*$N$60))</f>
        <v>0</v>
      </c>
      <c r="P62" s="306" t="s">
        <v>13</v>
      </c>
      <c r="Q62" s="339">
        <f>$O$62*$P$60*$Q$60</f>
        <v>0</v>
      </c>
      <c r="R62" s="301"/>
      <c r="S62" s="301"/>
      <c r="T62" s="299"/>
      <c r="U62" s="310" t="s">
        <v>44</v>
      </c>
      <c r="V62" s="311" t="str">
        <f t="shared" si="2"/>
        <v/>
      </c>
      <c r="W62" s="311" t="str">
        <f t="shared" si="3"/>
        <v/>
      </c>
      <c r="X62" s="312" t="s">
        <v>43</v>
      </c>
      <c r="Y62" s="90"/>
    </row>
    <row r="63" spans="2:25" x14ac:dyDescent="0.25">
      <c r="M63" s="90"/>
      <c r="N63" s="301"/>
      <c r="O63" s="301"/>
      <c r="P63" s="301"/>
      <c r="Q63" s="301"/>
      <c r="R63" s="301"/>
      <c r="S63" s="301"/>
      <c r="T63" s="299"/>
      <c r="U63" s="310" t="s">
        <v>42</v>
      </c>
      <c r="V63" s="311" t="str">
        <f t="shared" si="2"/>
        <v/>
      </c>
      <c r="W63" s="311" t="str">
        <f t="shared" si="3"/>
        <v/>
      </c>
      <c r="X63" s="312" t="s">
        <v>41</v>
      </c>
      <c r="Y63" s="90"/>
    </row>
    <row r="64" spans="2:25" x14ac:dyDescent="0.25">
      <c r="M64" s="90"/>
      <c r="N64" s="316" t="s">
        <v>232</v>
      </c>
      <c r="O64" s="317" t="s">
        <v>231</v>
      </c>
      <c r="P64" s="317" t="s">
        <v>230</v>
      </c>
      <c r="Q64" s="317" t="s">
        <v>228</v>
      </c>
      <c r="R64" s="314" t="s">
        <v>229</v>
      </c>
      <c r="S64" s="301"/>
      <c r="T64" s="299"/>
      <c r="U64" s="310" t="s">
        <v>46</v>
      </c>
      <c r="V64" s="311" t="str">
        <f t="shared" si="2"/>
        <v/>
      </c>
      <c r="W64" s="311" t="str">
        <f t="shared" si="3"/>
        <v/>
      </c>
      <c r="X64" s="312" t="s">
        <v>45</v>
      </c>
      <c r="Y64" s="90"/>
    </row>
    <row r="65" spans="13:25" x14ac:dyDescent="0.25">
      <c r="M65" s="90"/>
      <c r="N65" s="340">
        <f>IF($J$15="",0,IF($J$15="Neutral",1,2))</f>
        <v>0</v>
      </c>
      <c r="O65" s="341">
        <f>IF($J$15="",0,IF($J$15="Neutral",1,IF($J$15="Human",1,IF($J$21="No",1,1.25))))</f>
        <v>0</v>
      </c>
      <c r="P65" s="341">
        <f>IF($J$15="",0,IF($J$15="Neutral",1,IF($J$15="Human",1,IF($J$23="Yes",1.25,1))))</f>
        <v>0</v>
      </c>
      <c r="Q65" s="341">
        <f>IF($I$25="",0,1+$P$88+$Q$83+$R$83)</f>
        <v>0</v>
      </c>
      <c r="R65" s="342">
        <f>IF($I$35="",1,1+$P$95)</f>
        <v>1</v>
      </c>
      <c r="S65" s="301"/>
      <c r="T65" s="299"/>
      <c r="U65" s="310" t="s">
        <v>48</v>
      </c>
      <c r="V65" s="311" t="str">
        <f t="shared" si="2"/>
        <v/>
      </c>
      <c r="W65" s="311" t="str">
        <f t="shared" si="3"/>
        <v/>
      </c>
      <c r="X65" s="312" t="s">
        <v>47</v>
      </c>
      <c r="Y65" s="90"/>
    </row>
    <row r="66" spans="13:25" x14ac:dyDescent="0.25">
      <c r="M66" s="90"/>
      <c r="N66" s="301"/>
      <c r="O66" s="301"/>
      <c r="P66" s="301"/>
      <c r="Q66" s="301"/>
      <c r="R66" s="301"/>
      <c r="S66" s="301"/>
      <c r="T66" s="299"/>
      <c r="U66" s="310" t="s">
        <v>50</v>
      </c>
      <c r="V66" s="311" t="str">
        <f t="shared" si="2"/>
        <v/>
      </c>
      <c r="W66" s="311" t="str">
        <f t="shared" si="3"/>
        <v/>
      </c>
      <c r="X66" s="312" t="s">
        <v>49</v>
      </c>
      <c r="Y66" s="90"/>
    </row>
    <row r="67" spans="13:25" x14ac:dyDescent="0.25">
      <c r="M67" s="90"/>
      <c r="N67" s="301"/>
      <c r="O67" s="344">
        <v>1.1499999999999999</v>
      </c>
      <c r="P67" s="344">
        <v>1</v>
      </c>
      <c r="Q67" s="344">
        <v>0.85</v>
      </c>
      <c r="R67" s="301"/>
      <c r="S67" s="301"/>
      <c r="T67" s="299"/>
      <c r="U67" s="310" t="s">
        <v>52</v>
      </c>
      <c r="V67" s="311" t="str">
        <f t="shared" si="2"/>
        <v/>
      </c>
      <c r="W67" s="311" t="str">
        <f t="shared" si="3"/>
        <v/>
      </c>
      <c r="X67" s="312" t="s">
        <v>51</v>
      </c>
      <c r="Y67" s="90"/>
    </row>
    <row r="68" spans="13:25" x14ac:dyDescent="0.25">
      <c r="M68" s="90"/>
      <c r="N68" s="306" t="s">
        <v>14</v>
      </c>
      <c r="O68" s="343">
        <f>($J$13*$N$65*$O$65*$P$65*$Q$65*O$67)/$R$65</f>
        <v>0</v>
      </c>
      <c r="P68" s="343">
        <f>($J$13*$N$65*$O$65*$P$65*$Q$65*P$67)/$R$65</f>
        <v>0</v>
      </c>
      <c r="Q68" s="343">
        <f>($J$13*$N$65*$O$65*$P$65*$Q$65*Q$67)/$R$65</f>
        <v>0</v>
      </c>
      <c r="R68" s="301"/>
      <c r="S68" s="301"/>
      <c r="T68" s="299"/>
      <c r="U68" s="310" t="s">
        <v>53</v>
      </c>
      <c r="V68" s="311" t="str">
        <f t="shared" si="2"/>
        <v/>
      </c>
      <c r="W68" s="311" t="str">
        <f t="shared" si="3"/>
        <v/>
      </c>
      <c r="X68" s="312" t="s">
        <v>84</v>
      </c>
      <c r="Y68" s="90"/>
    </row>
    <row r="69" spans="13:25" x14ac:dyDescent="0.25">
      <c r="M69" s="90"/>
      <c r="N69" s="315"/>
      <c r="O69" s="322"/>
      <c r="P69" s="322"/>
      <c r="Q69" s="322"/>
      <c r="R69" s="301"/>
      <c r="S69" s="301"/>
      <c r="T69" s="299"/>
      <c r="U69" s="310" t="s">
        <v>55</v>
      </c>
      <c r="V69" s="311" t="str">
        <f t="shared" si="2"/>
        <v/>
      </c>
      <c r="W69" s="311" t="str">
        <f t="shared" si="3"/>
        <v/>
      </c>
      <c r="X69" s="312" t="s">
        <v>54</v>
      </c>
      <c r="Y69" s="90"/>
    </row>
    <row r="70" spans="13:25" x14ac:dyDescent="0.25">
      <c r="M70" s="90"/>
      <c r="N70" s="306" t="s">
        <v>15</v>
      </c>
      <c r="O70" s="488">
        <f>IF(O$68=0,0,$O$62/O$68)</f>
        <v>0</v>
      </c>
      <c r="P70" s="488">
        <f>IF(P$68=0,0,$O$62/P$68)</f>
        <v>0</v>
      </c>
      <c r="Q70" s="488">
        <f>IF(Q$68=0,0,$O$62/Q$68)</f>
        <v>0</v>
      </c>
      <c r="R70" s="301"/>
      <c r="S70" s="301"/>
      <c r="T70" s="299"/>
      <c r="U70" s="310" t="s">
        <v>57</v>
      </c>
      <c r="V70" s="311" t="str">
        <f t="shared" si="2"/>
        <v/>
      </c>
      <c r="W70" s="311" t="str">
        <f t="shared" si="3"/>
        <v/>
      </c>
      <c r="X70" s="312" t="s">
        <v>56</v>
      </c>
      <c r="Y70" s="90"/>
    </row>
    <row r="71" spans="13:25" x14ac:dyDescent="0.25">
      <c r="M71" s="90"/>
      <c r="N71" s="306" t="s">
        <v>16</v>
      </c>
      <c r="O71" s="489">
        <f>IF(O$68=0,0,$Q$62/O$68)</f>
        <v>0</v>
      </c>
      <c r="P71" s="489">
        <f>IF(P$68=0,0,$Q$62/P$68)</f>
        <v>0</v>
      </c>
      <c r="Q71" s="489">
        <f>IF(Q$68=0,0,$Q$62/Q$68)</f>
        <v>0</v>
      </c>
      <c r="R71" s="301"/>
      <c r="S71" s="301"/>
      <c r="T71" s="299"/>
      <c r="U71" s="310" t="s">
        <v>59</v>
      </c>
      <c r="V71" s="311" t="str">
        <f t="shared" si="2"/>
        <v/>
      </c>
      <c r="W71" s="311" t="str">
        <f t="shared" si="3"/>
        <v/>
      </c>
      <c r="X71" s="312" t="s">
        <v>58</v>
      </c>
      <c r="Y71" s="90"/>
    </row>
    <row r="72" spans="13:25" x14ac:dyDescent="0.25">
      <c r="M72" s="90"/>
      <c r="N72" s="301"/>
      <c r="O72" s="301"/>
      <c r="P72" s="301"/>
      <c r="Q72" s="301"/>
      <c r="R72" s="301"/>
      <c r="S72" s="301"/>
      <c r="T72" s="299"/>
      <c r="U72" s="310" t="s">
        <v>61</v>
      </c>
      <c r="V72" s="311" t="str">
        <f t="shared" si="2"/>
        <v/>
      </c>
      <c r="W72" s="311" t="str">
        <f t="shared" si="3"/>
        <v/>
      </c>
      <c r="X72" s="312" t="s">
        <v>60</v>
      </c>
      <c r="Y72" s="90"/>
    </row>
    <row r="73" spans="13:25" x14ac:dyDescent="0.25">
      <c r="M73" s="90"/>
      <c r="N73" s="313" t="s">
        <v>17</v>
      </c>
      <c r="O73" s="313" t="s">
        <v>18</v>
      </c>
      <c r="P73" s="313" t="s">
        <v>19</v>
      </c>
      <c r="Q73" s="318" t="s">
        <v>20</v>
      </c>
      <c r="R73" s="313" t="s">
        <v>21</v>
      </c>
      <c r="S73" s="313" t="s">
        <v>239</v>
      </c>
      <c r="T73" s="313" t="s">
        <v>240</v>
      </c>
      <c r="U73" s="310" t="s">
        <v>63</v>
      </c>
      <c r="V73" s="311" t="str">
        <f t="shared" si="2"/>
        <v/>
      </c>
      <c r="W73" s="311" t="str">
        <f t="shared" si="3"/>
        <v/>
      </c>
      <c r="X73" s="312" t="s">
        <v>62</v>
      </c>
      <c r="Y73" s="90"/>
    </row>
    <row r="74" spans="13:25" x14ac:dyDescent="0.25">
      <c r="M74" s="90"/>
      <c r="N74" s="319" t="s">
        <v>22</v>
      </c>
      <c r="O74" s="301" t="s">
        <v>4</v>
      </c>
      <c r="P74" s="301" t="s">
        <v>5</v>
      </c>
      <c r="Q74" s="301" t="str">
        <f>IF(J15="Neutral","n/a","Yes")</f>
        <v>Yes</v>
      </c>
      <c r="R74" s="319" t="s">
        <v>31</v>
      </c>
      <c r="S74" s="301" t="str">
        <f>IF(I25="","",IF(I25="No","n/a","Prince"))</f>
        <v/>
      </c>
      <c r="T74" s="301" t="str">
        <f>IF(I35="","",IF(I35="No","n/a","Prince"))</f>
        <v/>
      </c>
      <c r="U74" s="310" t="s">
        <v>65</v>
      </c>
      <c r="V74" s="311" t="str">
        <f t="shared" si="2"/>
        <v/>
      </c>
      <c r="W74" s="311" t="str">
        <f t="shared" si="3"/>
        <v/>
      </c>
      <c r="X74" s="312" t="s">
        <v>64</v>
      </c>
      <c r="Y74" s="90"/>
    </row>
    <row r="75" spans="13:25" x14ac:dyDescent="0.25">
      <c r="M75" s="90"/>
      <c r="N75" s="301" t="s">
        <v>713</v>
      </c>
      <c r="O75" s="301" t="s">
        <v>24</v>
      </c>
      <c r="P75" s="301" t="s">
        <v>25</v>
      </c>
      <c r="Q75" s="301" t="str">
        <f>IF(J15="Neutral","n/a","No")</f>
        <v>No</v>
      </c>
      <c r="R75" s="301" t="s">
        <v>6</v>
      </c>
      <c r="S75" s="301" t="str">
        <f>IF(I25="","",IF(I25="No","n/a","Duke"))</f>
        <v/>
      </c>
      <c r="T75" s="301" t="str">
        <f>IF(I35="","",IF(I35="No","n/a","Duke"))</f>
        <v/>
      </c>
      <c r="U75" s="310" t="s">
        <v>67</v>
      </c>
      <c r="V75" s="311" t="str">
        <f t="shared" si="2"/>
        <v/>
      </c>
      <c r="W75" s="311" t="str">
        <f t="shared" si="3"/>
        <v/>
      </c>
      <c r="X75" s="312" t="s">
        <v>66</v>
      </c>
      <c r="Y75" s="90"/>
    </row>
    <row r="76" spans="13:25" x14ac:dyDescent="0.25">
      <c r="M76" s="90"/>
      <c r="N76" s="301" t="s">
        <v>714</v>
      </c>
      <c r="O76" s="301" t="s">
        <v>27</v>
      </c>
      <c r="P76" s="301"/>
      <c r="Q76" s="301"/>
      <c r="R76" s="301"/>
      <c r="S76" s="301" t="str">
        <f>IF(I25="","",IF(I25="No","n/a","Count"))</f>
        <v/>
      </c>
      <c r="T76" s="301" t="str">
        <f>IF(I35="","",IF(I35="No","n/a","Count"))</f>
        <v/>
      </c>
      <c r="U76" s="310" t="s">
        <v>69</v>
      </c>
      <c r="V76" s="311" t="str">
        <f t="shared" si="2"/>
        <v/>
      </c>
      <c r="W76" s="311" t="str">
        <f t="shared" si="3"/>
        <v/>
      </c>
      <c r="X76" s="312" t="s">
        <v>68</v>
      </c>
      <c r="Y76" s="90"/>
    </row>
    <row r="77" spans="13:25" x14ac:dyDescent="0.25">
      <c r="M77" s="90"/>
      <c r="N77" s="301" t="s">
        <v>715</v>
      </c>
      <c r="O77" s="301" t="s">
        <v>28</v>
      </c>
      <c r="P77" s="301"/>
      <c r="Q77" s="301"/>
      <c r="R77" s="301"/>
      <c r="S77" s="301" t="str">
        <f>IF(I25="","",IF(I25="No","n/a","Baron"))</f>
        <v/>
      </c>
      <c r="T77" s="301" t="str">
        <f>IF(I35="","",IF(I35="No","n/a","Baron"))</f>
        <v/>
      </c>
      <c r="U77" s="310" t="s">
        <v>71</v>
      </c>
      <c r="V77" s="311" t="str">
        <f t="shared" si="2"/>
        <v/>
      </c>
      <c r="W77" s="311" t="str">
        <f t="shared" si="3"/>
        <v/>
      </c>
      <c r="X77" s="312" t="s">
        <v>70</v>
      </c>
      <c r="Y77" s="90"/>
    </row>
    <row r="78" spans="13:25" x14ac:dyDescent="0.25">
      <c r="M78" s="90"/>
      <c r="N78" s="301" t="s">
        <v>29</v>
      </c>
      <c r="O78" s="301"/>
      <c r="P78" s="301"/>
      <c r="Q78" s="301"/>
      <c r="R78" s="301"/>
      <c r="S78" s="301" t="str">
        <f>IF(I25="","",IF(I25="No","n/a","Governor"))</f>
        <v/>
      </c>
      <c r="T78" s="301" t="str">
        <f>IF(I35="","",IF(I35="No","n/a","Governor"))</f>
        <v/>
      </c>
      <c r="U78" s="310" t="s">
        <v>73</v>
      </c>
      <c r="V78" s="311" t="str">
        <f t="shared" si="2"/>
        <v/>
      </c>
      <c r="W78" s="311" t="str">
        <f t="shared" si="3"/>
        <v/>
      </c>
      <c r="X78" s="312" t="s">
        <v>72</v>
      </c>
      <c r="Y78" s="90"/>
    </row>
    <row r="79" spans="13:25" x14ac:dyDescent="0.25">
      <c r="M79" s="90"/>
      <c r="N79" s="301"/>
      <c r="O79" s="301"/>
      <c r="P79" s="301"/>
      <c r="Q79" s="301"/>
      <c r="R79" s="301"/>
      <c r="S79" s="301" t="str">
        <f>IF(I25="","",IF(I25="No","n/a","Ambassador"))</f>
        <v/>
      </c>
      <c r="T79" s="301" t="str">
        <f>IF(I35="","",IF(I35="No","n/a","Ambassador"))</f>
        <v/>
      </c>
      <c r="U79" s="310" t="s">
        <v>75</v>
      </c>
      <c r="V79" s="311" t="str">
        <f t="shared" si="2"/>
        <v/>
      </c>
      <c r="W79" s="311" t="str">
        <f t="shared" si="3"/>
        <v/>
      </c>
      <c r="X79" s="312" t="s">
        <v>74</v>
      </c>
      <c r="Y79" s="90"/>
    </row>
    <row r="80" spans="13:25" x14ac:dyDescent="0.25">
      <c r="M80" s="90"/>
      <c r="N80" s="301"/>
      <c r="O80" s="301"/>
      <c r="P80" s="301"/>
      <c r="Q80" s="301"/>
      <c r="R80" s="301"/>
      <c r="S80" s="301"/>
      <c r="T80" s="299"/>
      <c r="U80" s="310" t="s">
        <v>77</v>
      </c>
      <c r="V80" s="311" t="str">
        <f t="shared" si="2"/>
        <v/>
      </c>
      <c r="W80" s="311" t="str">
        <f t="shared" si="3"/>
        <v/>
      </c>
      <c r="X80" s="312" t="s">
        <v>76</v>
      </c>
      <c r="Y80" s="90"/>
    </row>
    <row r="81" spans="13:25" x14ac:dyDescent="0.25">
      <c r="M81" s="90"/>
      <c r="N81" s="301"/>
      <c r="O81" s="301"/>
      <c r="P81" s="301"/>
      <c r="Q81" s="301"/>
      <c r="R81" s="301"/>
      <c r="S81" s="301"/>
      <c r="T81" s="299"/>
      <c r="U81" s="310" t="s">
        <v>79</v>
      </c>
      <c r="V81" s="311" t="str">
        <f t="shared" si="2"/>
        <v/>
      </c>
      <c r="W81" s="311" t="str">
        <f t="shared" si="3"/>
        <v/>
      </c>
      <c r="X81" s="312" t="s">
        <v>78</v>
      </c>
      <c r="Y81" s="90"/>
    </row>
    <row r="82" spans="13:25" x14ac:dyDescent="0.25">
      <c r="M82" s="90"/>
      <c r="N82" s="320" t="s">
        <v>211</v>
      </c>
      <c r="O82" s="320" t="s">
        <v>30</v>
      </c>
      <c r="P82" s="320" t="s">
        <v>212</v>
      </c>
      <c r="Q82" s="314" t="s">
        <v>210</v>
      </c>
      <c r="R82" s="313" t="s">
        <v>215</v>
      </c>
      <c r="S82" s="313" t="s">
        <v>216</v>
      </c>
      <c r="T82" s="318" t="s">
        <v>33</v>
      </c>
      <c r="U82" s="310" t="s">
        <v>81</v>
      </c>
      <c r="V82" s="311" t="str">
        <f t="shared" si="2"/>
        <v/>
      </c>
      <c r="W82" s="311" t="str">
        <f t="shared" si="3"/>
        <v/>
      </c>
      <c r="X82" s="312" t="s">
        <v>80</v>
      </c>
      <c r="Y82" s="90"/>
    </row>
    <row r="83" spans="13:25" x14ac:dyDescent="0.25">
      <c r="M83" s="90"/>
      <c r="N83" s="345">
        <f>IF($K28="",0,1)</f>
        <v>0</v>
      </c>
      <c r="O83" s="346">
        <f>IF($H28="Prince",0.8,IF($H28="Duke",0.7,IF($H28="Count",0.6,IF($H28="Baron",0.5,IF($H28="Governor",0.3,IF($H28="Ambassador",0.2,0))))))</f>
        <v>0</v>
      </c>
      <c r="P83" s="346">
        <f>($O83+$S83)*$I28*0.1/IF($J28="Friendly",1,IF($J28="Tolerant",2,IF($J28="Suspicious",3,4)))</f>
        <v>0</v>
      </c>
      <c r="Q83" s="347">
        <f>IF($J$15="",0,IF($J$15="Neutral",0,IF($J$15="Human",0,IF(VLOOKUP($J$15,'Kingdom Traits Matrix'!$D$4:$T$27,17,FALSE)="●",0.2,0))))</f>
        <v>0</v>
      </c>
      <c r="R83" s="347">
        <f>IF($J$15="",0,IF($J$15="Neutral",0,IF($J$15="Human",0,IF(VLOOKUP($J$15,'Kingdom Traits Matrix'!$D$4:$W$27,20,FALSE)="●",0.2,0))))</f>
        <v>0</v>
      </c>
      <c r="S83" s="348">
        <f>IF($I$25="",0,IF($N83=0,0,IF(VLOOKUP($G28,'Kingdom Traits Matrix'!$D$4:$S$27,16,FALSE)="●",0.15,0)))</f>
        <v>0</v>
      </c>
      <c r="T83" s="301" t="s">
        <v>31</v>
      </c>
      <c r="U83" s="299"/>
      <c r="V83" s="299"/>
      <c r="W83" s="299"/>
      <c r="X83" s="299"/>
      <c r="Y83" s="90"/>
    </row>
    <row r="84" spans="13:25" x14ac:dyDescent="0.25">
      <c r="M84" s="90"/>
      <c r="N84" s="345">
        <f>IF($K29="",0,1)</f>
        <v>0</v>
      </c>
      <c r="O84" s="346">
        <f t="shared" ref="O84:O87" si="4">IF($H29="Prince",0.8,IF($H29="Duke",0.7,IF($H29="Count",0.6,IF($H29="Baron",0.5,IF($H29="Governor",0.3,IF($H29="Ambassador",0.2,0))))))</f>
        <v>0</v>
      </c>
      <c r="P84" s="346">
        <f t="shared" ref="P84:P87" si="5">($O84+$S84)*$I29*0.1/IF($J29="Friendly",1,IF($J29="Tolerant",2,IF($J29="Suspicious",3,4)))</f>
        <v>0</v>
      </c>
      <c r="Q84" s="322"/>
      <c r="R84" s="322"/>
      <c r="S84" s="348">
        <f>IF($I$25="",0,IF($N84=0,0,IF(VLOOKUP($G29,'Kingdom Traits Matrix'!$D$4:$S$27,16,FALSE)="●",0.15,0)))</f>
        <v>0</v>
      </c>
      <c r="T84" s="301" t="s">
        <v>6</v>
      </c>
      <c r="U84" s="299"/>
      <c r="V84" s="299"/>
      <c r="W84" s="299"/>
      <c r="X84" s="299"/>
      <c r="Y84" s="90"/>
    </row>
    <row r="85" spans="13:25" x14ac:dyDescent="0.25">
      <c r="M85" s="90"/>
      <c r="N85" s="345">
        <f>IF($K30="",0,1)</f>
        <v>0</v>
      </c>
      <c r="O85" s="346">
        <f t="shared" si="4"/>
        <v>0</v>
      </c>
      <c r="P85" s="346">
        <f t="shared" si="5"/>
        <v>0</v>
      </c>
      <c r="Q85" s="319"/>
      <c r="R85" s="319"/>
      <c r="S85" s="348">
        <f>IF($I$25="",0,IF($N85=0,0,IF(VLOOKUP($G30,'Kingdom Traits Matrix'!$D$4:$S$27,16,FALSE)="●",0.15,0)))</f>
        <v>0</v>
      </c>
      <c r="T85" s="299"/>
      <c r="U85" s="299"/>
      <c r="V85" s="299"/>
      <c r="W85" s="299"/>
      <c r="X85" s="299"/>
      <c r="Y85" s="90"/>
    </row>
    <row r="86" spans="13:25" x14ac:dyDescent="0.25">
      <c r="M86" s="90"/>
      <c r="N86" s="345">
        <f>IF($K31="",0,1)</f>
        <v>0</v>
      </c>
      <c r="O86" s="346">
        <f t="shared" si="4"/>
        <v>0</v>
      </c>
      <c r="P86" s="346">
        <f t="shared" si="5"/>
        <v>0</v>
      </c>
      <c r="Q86" s="301"/>
      <c r="R86" s="301"/>
      <c r="S86" s="348">
        <f>IF($I$25="",0,IF($N86=0,0,IF(VLOOKUP($G31,'Kingdom Traits Matrix'!$D$4:$S$27,16,FALSE)="●",0.15,0)))</f>
        <v>0</v>
      </c>
      <c r="T86" s="299"/>
      <c r="U86" s="299"/>
      <c r="V86" s="299"/>
      <c r="W86" s="299"/>
      <c r="X86" s="299"/>
      <c r="Y86" s="90"/>
    </row>
    <row r="87" spans="13:25" x14ac:dyDescent="0.25">
      <c r="M87" s="90"/>
      <c r="N87" s="345">
        <f>IF($K32="",0,1)</f>
        <v>0</v>
      </c>
      <c r="O87" s="346">
        <f t="shared" si="4"/>
        <v>0</v>
      </c>
      <c r="P87" s="346">
        <f t="shared" si="5"/>
        <v>0</v>
      </c>
      <c r="Q87" s="301"/>
      <c r="R87" s="301"/>
      <c r="S87" s="348">
        <f>IF($I$25="",0,IF($N87=0,0,IF(VLOOKUP($G32,'Kingdom Traits Matrix'!$D$4:$S$27,16,FALSE)="●",0.15,0)))</f>
        <v>0</v>
      </c>
      <c r="T87" s="299"/>
      <c r="U87" s="299"/>
      <c r="V87" s="299"/>
      <c r="W87" s="299"/>
      <c r="X87" s="299"/>
      <c r="Y87" s="90"/>
    </row>
    <row r="88" spans="13:25" x14ac:dyDescent="0.25">
      <c r="M88" s="90"/>
      <c r="N88" s="351">
        <f>SUM(N83:N87)</f>
        <v>0</v>
      </c>
      <c r="O88" s="321"/>
      <c r="P88" s="352">
        <f>IF($N$88=0,0,IF($I$25="Yes",SUM($P$83:$P$87),0))</f>
        <v>0</v>
      </c>
      <c r="Q88" s="301"/>
      <c r="R88" s="301"/>
      <c r="S88" s="301"/>
      <c r="T88" s="299"/>
      <c r="U88" s="299"/>
      <c r="V88" s="299"/>
      <c r="W88" s="299"/>
      <c r="X88" s="299"/>
      <c r="Y88" s="90"/>
    </row>
    <row r="89" spans="13:25" x14ac:dyDescent="0.25">
      <c r="M89" s="90"/>
      <c r="N89" s="320" t="s">
        <v>213</v>
      </c>
      <c r="O89" s="320" t="s">
        <v>30</v>
      </c>
      <c r="P89" s="320" t="s">
        <v>214</v>
      </c>
      <c r="Q89" s="314" t="s">
        <v>217</v>
      </c>
      <c r="R89" s="301"/>
      <c r="S89" s="301"/>
      <c r="T89" s="299"/>
      <c r="U89" s="299"/>
      <c r="V89" s="299"/>
      <c r="W89" s="299"/>
      <c r="X89" s="299"/>
      <c r="Y89" s="90"/>
    </row>
    <row r="90" spans="13:25" x14ac:dyDescent="0.25">
      <c r="M90" s="90"/>
      <c r="N90" s="345">
        <f>IF($K38="",0,1)</f>
        <v>0</v>
      </c>
      <c r="O90" s="349">
        <f>IF($H38="Prince",0.8,IF($H38="Duke",0.7,IF($H38="Count",0.6,IF($H38="Baron",0.5,IF($H38="Governor",0.3,IF($H38="Ambassador",0.2,0))))))</f>
        <v>0</v>
      </c>
      <c r="P90" s="349">
        <f>($O90+$Q90)*$I38*0.1/IF($J38="Friendly",1,IF($J38="Tolerant",2,IF($J38="Suspicious",3,4)))</f>
        <v>0</v>
      </c>
      <c r="Q90" s="350">
        <f>IF($I$35="",0,IF($N90=0,0,IF(VLOOKUP($G38,'Kingdom Traits Matrix'!$D$4:$I$27,6,FALSE)="●",0.15,0)))</f>
        <v>0</v>
      </c>
      <c r="R90" s="301"/>
      <c r="S90" s="301"/>
      <c r="T90" s="299"/>
      <c r="U90" s="299"/>
      <c r="V90" s="299"/>
      <c r="W90" s="299"/>
      <c r="X90" s="299"/>
      <c r="Y90" s="90"/>
    </row>
    <row r="91" spans="13:25" x14ac:dyDescent="0.25">
      <c r="M91" s="90"/>
      <c r="N91" s="345">
        <f>IF($K39="",0,1)</f>
        <v>0</v>
      </c>
      <c r="O91" s="349">
        <f t="shared" ref="O91:O94" si="6">IF($H39="Prince",0.8,IF($H39="Duke",0.7,IF($H39="Count",0.6,IF($H39="Baron",0.5,IF($H39="Governor",0.3,IF($H39="Ambassador",0.2,0))))))</f>
        <v>0</v>
      </c>
      <c r="P91" s="349">
        <f t="shared" ref="P91:P94" si="7">($O91+$Q91)*$I39*0.1/IF($J39="Friendly",1,IF($J39="Tolerant",2,IF($J39="Suspicious",3,4)))</f>
        <v>0</v>
      </c>
      <c r="Q91" s="350">
        <f>IF($I$35="",0,IF($N91=0,0,IF(VLOOKUP($G39,'Kingdom Traits Matrix'!$D$4:$I$27,6,FALSE)="●",0.15,0)))</f>
        <v>0</v>
      </c>
      <c r="R91" s="301"/>
      <c r="S91" s="301"/>
      <c r="T91" s="299"/>
      <c r="U91" s="299"/>
      <c r="V91" s="299"/>
      <c r="W91" s="299"/>
      <c r="X91" s="299"/>
      <c r="Y91" s="90"/>
    </row>
    <row r="92" spans="13:25" x14ac:dyDescent="0.25">
      <c r="M92" s="90"/>
      <c r="N92" s="345">
        <f>IF($K40="",0,1)</f>
        <v>0</v>
      </c>
      <c r="O92" s="349">
        <f t="shared" si="6"/>
        <v>0</v>
      </c>
      <c r="P92" s="349">
        <f t="shared" si="7"/>
        <v>0</v>
      </c>
      <c r="Q92" s="350">
        <f>IF($I$35="",0,IF($N92=0,0,IF(VLOOKUP($G40,'Kingdom Traits Matrix'!$D$4:$I$27,6,FALSE)="●",0.15,0)))</f>
        <v>0</v>
      </c>
      <c r="R92" s="301"/>
      <c r="S92" s="301"/>
      <c r="T92" s="299"/>
      <c r="U92" s="299"/>
      <c r="V92" s="299"/>
      <c r="W92" s="299"/>
      <c r="X92" s="299"/>
      <c r="Y92" s="90"/>
    </row>
    <row r="93" spans="13:25" x14ac:dyDescent="0.25">
      <c r="M93" s="90"/>
      <c r="N93" s="345">
        <f>IF($K41="",0,1)</f>
        <v>0</v>
      </c>
      <c r="O93" s="349">
        <f t="shared" si="6"/>
        <v>0</v>
      </c>
      <c r="P93" s="349">
        <f t="shared" si="7"/>
        <v>0</v>
      </c>
      <c r="Q93" s="350">
        <f>IF($I$35="",0,IF($N93=0,0,IF(VLOOKUP($G41,'Kingdom Traits Matrix'!$D$4:$I$27,6,FALSE)="●",0.15,0)))</f>
        <v>0</v>
      </c>
      <c r="R93" s="301"/>
      <c r="S93" s="301"/>
      <c r="T93" s="299"/>
      <c r="U93" s="299"/>
      <c r="V93" s="299"/>
      <c r="W93" s="299"/>
      <c r="X93" s="299"/>
      <c r="Y93" s="90"/>
    </row>
    <row r="94" spans="13:25" x14ac:dyDescent="0.25">
      <c r="M94" s="90"/>
      <c r="N94" s="345">
        <f>IF($K42="",0,1)</f>
        <v>0</v>
      </c>
      <c r="O94" s="349">
        <f t="shared" si="6"/>
        <v>0</v>
      </c>
      <c r="P94" s="349">
        <f t="shared" si="7"/>
        <v>0</v>
      </c>
      <c r="Q94" s="350">
        <f>IF($I$35="",0,IF($N94=0,0,IF(VLOOKUP($G42,'Kingdom Traits Matrix'!$D$4:$I$27,6,FALSE)="●",0.15,0)))</f>
        <v>0</v>
      </c>
      <c r="R94" s="301"/>
      <c r="S94" s="301"/>
      <c r="T94" s="299"/>
      <c r="U94" s="299"/>
      <c r="V94" s="299"/>
      <c r="W94" s="299"/>
      <c r="X94" s="299"/>
      <c r="Y94" s="90"/>
    </row>
    <row r="95" spans="13:25" x14ac:dyDescent="0.25">
      <c r="M95" s="90"/>
      <c r="N95" s="353">
        <f>SUM(N90:N94)</f>
        <v>0</v>
      </c>
      <c r="O95" s="323"/>
      <c r="P95" s="354">
        <f>IF($N$95=0,0,IF($I$35="Yes",SUM($P$90:$P$94),0))</f>
        <v>0</v>
      </c>
      <c r="Q95" s="301"/>
      <c r="R95" s="301"/>
      <c r="S95" s="301"/>
      <c r="T95" s="299"/>
      <c r="U95" s="299"/>
      <c r="V95" s="299"/>
      <c r="W95" s="299"/>
      <c r="X95" s="299"/>
      <c r="Y95" s="90"/>
    </row>
    <row r="96" spans="13:25" x14ac:dyDescent="0.25">
      <c r="M96" s="90"/>
      <c r="N96" s="301"/>
      <c r="O96" s="301"/>
      <c r="P96" s="301"/>
      <c r="Q96" s="301"/>
      <c r="R96" s="301"/>
      <c r="S96" s="301"/>
      <c r="T96" s="299"/>
      <c r="U96" s="299"/>
      <c r="V96" s="299"/>
      <c r="W96" s="299"/>
      <c r="X96" s="299"/>
      <c r="Y96" s="90"/>
    </row>
    <row r="97" spans="13:25" x14ac:dyDescent="0.25">
      <c r="M97" s="90"/>
      <c r="N97" s="94"/>
      <c r="O97" s="94"/>
      <c r="P97" s="94"/>
      <c r="Q97" s="94"/>
      <c r="R97" s="94"/>
      <c r="S97" s="94"/>
      <c r="T97" s="90"/>
      <c r="U97" s="90"/>
      <c r="V97" s="90"/>
      <c r="W97" s="90"/>
      <c r="X97" s="90"/>
      <c r="Y97" s="90"/>
    </row>
  </sheetData>
  <sheetProtection password="8D31" sheet="1" objects="1" scenarios="1" selectLockedCells="1"/>
  <sortState ref="X59:X82">
    <sortCondition ref="X59"/>
  </sortState>
  <mergeCells count="7">
    <mergeCell ref="B1:K1"/>
    <mergeCell ref="C50:E50"/>
    <mergeCell ref="H50:J50"/>
    <mergeCell ref="E2:H2"/>
    <mergeCell ref="E11:H11"/>
    <mergeCell ref="G46:I46"/>
    <mergeCell ref="G17:I17"/>
  </mergeCells>
  <conditionalFormatting sqref="H53:J53 C53:E53">
    <cfRule type="cellIs" dxfId="82" priority="136" stopIfTrue="1" operator="equal">
      <formula>"Probable Success"</formula>
    </cfRule>
    <cfRule type="cellIs" dxfId="81" priority="137" stopIfTrue="1" operator="equal">
      <formula>"Questionable"</formula>
    </cfRule>
    <cfRule type="cellIs" dxfId="80" priority="138" stopIfTrue="1" operator="equal">
      <formula>"Failure Imminent"</formula>
    </cfRule>
  </conditionalFormatting>
  <conditionalFormatting sqref="C23">
    <cfRule type="cellIs" dxfId="79" priority="135" stopIfTrue="1" operator="equal">
      <formula>"Has the Population Center owner declared you as an Enemy?"</formula>
    </cfRule>
  </conditionalFormatting>
  <conditionalFormatting sqref="C21">
    <cfRule type="cellIs" dxfId="78" priority="134" stopIfTrue="1" operator="equal">
      <formula>"Does the Population Center owner have Control of the region?"</formula>
    </cfRule>
  </conditionalFormatting>
  <conditionalFormatting sqref="J21">
    <cfRule type="expression" dxfId="77" priority="68" stopIfTrue="1">
      <formula>$J$15="Human"</formula>
    </cfRule>
    <cfRule type="expression" dxfId="76" priority="132" stopIfTrue="1">
      <formula>$J$15="Neutral"</formula>
    </cfRule>
  </conditionalFormatting>
  <conditionalFormatting sqref="J23">
    <cfRule type="expression" dxfId="75" priority="67" stopIfTrue="1">
      <formula>$J$15="Human"</formula>
    </cfRule>
    <cfRule type="expression" dxfId="74" priority="124" stopIfTrue="1">
      <formula>$J$15="Neutral"</formula>
    </cfRule>
  </conditionalFormatting>
  <conditionalFormatting sqref="J4 J6 J8 J13 J15 J21 J23 I25">
    <cfRule type="cellIs" dxfId="73" priority="133" stopIfTrue="1" operator="equal">
      <formula>""</formula>
    </cfRule>
  </conditionalFormatting>
  <conditionalFormatting sqref="J19">
    <cfRule type="expression" dxfId="72" priority="69" stopIfTrue="1">
      <formula>$J$15="Human"</formula>
    </cfRule>
    <cfRule type="expression" dxfId="71" priority="113" stopIfTrue="1">
      <formula>$J$15="Neutral"</formula>
    </cfRule>
  </conditionalFormatting>
  <conditionalFormatting sqref="J19">
    <cfRule type="cellIs" dxfId="70" priority="114" stopIfTrue="1" operator="equal">
      <formula>""</formula>
    </cfRule>
  </conditionalFormatting>
  <conditionalFormatting sqref="J17">
    <cfRule type="expression" dxfId="69" priority="70" stopIfTrue="1">
      <formula>$J$15="Human"</formula>
    </cfRule>
    <cfRule type="expression" dxfId="68" priority="111" stopIfTrue="1">
      <formula>$J$15="Neutral"</formula>
    </cfRule>
  </conditionalFormatting>
  <conditionalFormatting sqref="J17">
    <cfRule type="cellIs" dxfId="67" priority="112" stopIfTrue="1" operator="equal">
      <formula>""</formula>
    </cfRule>
  </conditionalFormatting>
  <conditionalFormatting sqref="C19">
    <cfRule type="cellIs" dxfId="66" priority="110" stopIfTrue="1" operator="equal">
      <formula>"Is the Population Center owner Friendly in the region?"</formula>
    </cfRule>
  </conditionalFormatting>
  <conditionalFormatting sqref="C17">
    <cfRule type="cellIs" dxfId="65" priority="109" stopIfTrue="1" operator="equal">
      <formula>"Is the Population Center the owner's 'Capital'?"</formula>
    </cfRule>
  </conditionalFormatting>
  <conditionalFormatting sqref="I35">
    <cfRule type="cellIs" dxfId="64" priority="102" stopIfTrue="1" operator="equal">
      <formula>""</formula>
    </cfRule>
  </conditionalFormatting>
  <conditionalFormatting sqref="J46">
    <cfRule type="notContainsBlanks" dxfId="63" priority="46" stopIfTrue="1">
      <formula>LEN(TRIM(J46))&gt;0</formula>
    </cfRule>
  </conditionalFormatting>
  <conditionalFormatting sqref="D48 I48">
    <cfRule type="cellIs" dxfId="62" priority="45" stopIfTrue="1" operator="equal">
      <formula>"See probabilities below"</formula>
    </cfRule>
  </conditionalFormatting>
  <conditionalFormatting sqref="H38:H42 J38:J42">
    <cfRule type="expression" dxfId="61" priority="48" stopIfTrue="1">
      <formula>$I$35=""</formula>
    </cfRule>
    <cfRule type="expression" dxfId="60" priority="49" stopIfTrue="1">
      <formula>$I$35="No"</formula>
    </cfRule>
    <cfRule type="expression" priority="50" stopIfTrue="1">
      <formula>$H$38&lt;&gt;""</formula>
    </cfRule>
    <cfRule type="expression" priority="51" stopIfTrue="1">
      <formula>$H$39&lt;&gt;""</formula>
    </cfRule>
    <cfRule type="expression" priority="52" stopIfTrue="1">
      <formula>$H$40&lt;&gt;""</formula>
    </cfRule>
    <cfRule type="expression" priority="53" stopIfTrue="1">
      <formula>$H$41&lt;&gt;""</formula>
    </cfRule>
    <cfRule type="expression" priority="54" stopIfTrue="1">
      <formula>$H$42&lt;&gt;""</formula>
    </cfRule>
    <cfRule type="cellIs" dxfId="59" priority="100" stopIfTrue="1" operator="equal">
      <formula>""</formula>
    </cfRule>
  </conditionalFormatting>
  <conditionalFormatting sqref="G28:G32">
    <cfRule type="containsText" dxfId="58" priority="43" stopIfTrue="1" operator="containsText" text="Oratory">
      <formula>NOT(ISERROR(SEARCH("Oratory",G28)))</formula>
    </cfRule>
  </conditionalFormatting>
  <conditionalFormatting sqref="G38:G42">
    <cfRule type="containsText" dxfId="57" priority="41" stopIfTrue="1" operator="containsText" text="Cunning">
      <formula>NOT(ISERROR(SEARCH("Cunning",G38)))</formula>
    </cfRule>
  </conditionalFormatting>
  <conditionalFormatting sqref="H28:H32 J28:J32">
    <cfRule type="expression" dxfId="56" priority="118" stopIfTrue="1">
      <formula>$I$25=""</formula>
    </cfRule>
    <cfRule type="expression" dxfId="55" priority="119" stopIfTrue="1">
      <formula>$I$25="No"</formula>
    </cfRule>
    <cfRule type="expression" priority="120" stopIfTrue="1">
      <formula>$H$28&lt;&gt;""</formula>
    </cfRule>
    <cfRule type="expression" priority="121" stopIfTrue="1">
      <formula>$H$29&lt;&gt;""</formula>
    </cfRule>
    <cfRule type="expression" priority="122" stopIfTrue="1">
      <formula>$H$30&lt;&gt;""</formula>
    </cfRule>
    <cfRule type="expression" priority="123" stopIfTrue="1">
      <formula>$H$31&lt;&gt;""</formula>
    </cfRule>
    <cfRule type="expression" priority="130" stopIfTrue="1">
      <formula>$H$32&lt;&gt;""</formula>
    </cfRule>
    <cfRule type="cellIs" dxfId="54" priority="131" stopIfTrue="1" operator="equal">
      <formula>""</formula>
    </cfRule>
  </conditionalFormatting>
  <conditionalFormatting sqref="O70:Q71">
    <cfRule type="expression" priority="37" stopIfTrue="1">
      <formula>$O$68=0</formula>
    </cfRule>
    <cfRule type="cellIs" dxfId="53" priority="38" stopIfTrue="1" operator="greaterThan">
      <formula>1.09</formula>
    </cfRule>
    <cfRule type="cellIs" dxfId="52" priority="39" stopIfTrue="1" operator="greaterThan">
      <formula>0.98</formula>
    </cfRule>
    <cfRule type="expression" dxfId="51" priority="40" stopIfTrue="1">
      <formula>$O$68&lt;&gt;0</formula>
    </cfRule>
  </conditionalFormatting>
  <conditionalFormatting sqref="G17:I17">
    <cfRule type="cellIs" dxfId="50" priority="35" operator="equal">
      <formula>"* Capitals are not affected by orders 170/171 *"</formula>
    </cfRule>
  </conditionalFormatting>
  <conditionalFormatting sqref="F28:F32">
    <cfRule type="containsText" dxfId="49" priority="26" stopIfTrue="1" operator="containsText" text="Oratory">
      <formula>NOT(ISERROR(SEARCH("Oratory",F28)))</formula>
    </cfRule>
  </conditionalFormatting>
  <conditionalFormatting sqref="G28:G32">
    <cfRule type="expression" dxfId="48" priority="27" stopIfTrue="1">
      <formula>$I$25=""</formula>
    </cfRule>
    <cfRule type="expression" dxfId="47" priority="28" stopIfTrue="1">
      <formula>$I$25="No"</formula>
    </cfRule>
    <cfRule type="expression" priority="29" stopIfTrue="1">
      <formula>$H$28&lt;&gt;""</formula>
    </cfRule>
    <cfRule type="expression" priority="30" stopIfTrue="1">
      <formula>$H$29&lt;&gt;""</formula>
    </cfRule>
    <cfRule type="expression" priority="31" stopIfTrue="1">
      <formula>$H$30&lt;&gt;""</formula>
    </cfRule>
    <cfRule type="expression" priority="32" stopIfTrue="1">
      <formula>$H$31&lt;&gt;""</formula>
    </cfRule>
    <cfRule type="expression" priority="33" stopIfTrue="1">
      <formula>$H$32&lt;&gt;""</formula>
    </cfRule>
    <cfRule type="cellIs" dxfId="46" priority="34" stopIfTrue="1" operator="equal">
      <formula>""</formula>
    </cfRule>
  </conditionalFormatting>
  <conditionalFormatting sqref="G38:G42">
    <cfRule type="expression" dxfId="45" priority="18" stopIfTrue="1">
      <formula>$I$35=""</formula>
    </cfRule>
    <cfRule type="expression" dxfId="44" priority="19" stopIfTrue="1">
      <formula>$I$35="No"</formula>
    </cfRule>
    <cfRule type="expression" priority="20" stopIfTrue="1">
      <formula>$H$38&lt;&gt;""</formula>
    </cfRule>
    <cfRule type="expression" priority="21" stopIfTrue="1">
      <formula>$H$39&lt;&gt;""</formula>
    </cfRule>
    <cfRule type="expression" priority="22" stopIfTrue="1">
      <formula>$H$40&lt;&gt;""</formula>
    </cfRule>
    <cfRule type="expression" priority="23" stopIfTrue="1">
      <formula>$H$41&lt;&gt;""</formula>
    </cfRule>
    <cfRule type="expression" priority="24" stopIfTrue="1">
      <formula>$H$42&lt;&gt;""</formula>
    </cfRule>
    <cfRule type="cellIs" dxfId="43" priority="25" stopIfTrue="1" operator="equal">
      <formula>""</formula>
    </cfRule>
  </conditionalFormatting>
  <conditionalFormatting sqref="F38:F42">
    <cfRule type="containsText" dxfId="42" priority="17" stopIfTrue="1" operator="containsText" text="Cunning">
      <formula>NOT(ISERROR(SEARCH("Cunning",F38)))</formula>
    </cfRule>
  </conditionalFormatting>
  <conditionalFormatting sqref="I28:I32">
    <cfRule type="expression" dxfId="41" priority="9" stopIfTrue="1">
      <formula>$I$25=""</formula>
    </cfRule>
    <cfRule type="expression" dxfId="40" priority="10" stopIfTrue="1">
      <formula>$I$25="No"</formula>
    </cfRule>
    <cfRule type="expression" priority="11" stopIfTrue="1">
      <formula>$H$28&lt;&gt;""</formula>
    </cfRule>
    <cfRule type="expression" priority="12" stopIfTrue="1">
      <formula>$H$29&lt;&gt;""</formula>
    </cfRule>
    <cfRule type="expression" priority="13" stopIfTrue="1">
      <formula>$H$30&lt;&gt;""</formula>
    </cfRule>
    <cfRule type="expression" priority="14" stopIfTrue="1">
      <formula>$H$31&lt;&gt;""</formula>
    </cfRule>
    <cfRule type="expression" priority="15" stopIfTrue="1">
      <formula>$H$32&lt;&gt;""</formula>
    </cfRule>
    <cfRule type="cellIs" dxfId="39" priority="16" stopIfTrue="1" operator="equal">
      <formula>""</formula>
    </cfRule>
  </conditionalFormatting>
  <conditionalFormatting sqref="I38:I42">
    <cfRule type="expression" dxfId="38" priority="1" stopIfTrue="1">
      <formula>$I$35=""</formula>
    </cfRule>
    <cfRule type="expression" dxfId="37" priority="2" stopIfTrue="1">
      <formula>$I$35="No"</formula>
    </cfRule>
    <cfRule type="expression" priority="3" stopIfTrue="1">
      <formula>$H$38&lt;&gt;""</formula>
    </cfRule>
    <cfRule type="expression" priority="4" stopIfTrue="1">
      <formula>$H$39&lt;&gt;""</formula>
    </cfRule>
    <cfRule type="expression" priority="5" stopIfTrue="1">
      <formula>$H$40&lt;&gt;""</formula>
    </cfRule>
    <cfRule type="expression" priority="6" stopIfTrue="1">
      <formula>$H$41&lt;&gt;""</formula>
    </cfRule>
    <cfRule type="expression" priority="7" stopIfTrue="1">
      <formula>$H$42&lt;&gt;""</formula>
    </cfRule>
    <cfRule type="cellIs" dxfId="36" priority="8" stopIfTrue="1" operator="equal">
      <formula>""</formula>
    </cfRule>
  </conditionalFormatting>
  <dataValidations count="16">
    <dataValidation type="whole" operator="greaterThanOrEqual" showErrorMessage="1" errorTitle="Invalid Number" error="Please enter a whole number greater than or equal to 1000." promptTitle="Value vs. PC" prompt="_x000a_Enter a whole number greater than or equal to 1000." sqref="J4">
      <formula1>1000</formula1>
    </dataValidation>
    <dataValidation type="list" showErrorMessage="1" errorTitle="Invalid Selection" error="Please select the group's highest ranking leader._x000a__x000a_* Drop-Down Menu *_x000a_ " promptTitle="Highest Ranking Leader" prompt="_x000a_Select the group's highest ranking leader._x000a__x000a_* Drop-down menu *" sqref="J6">
      <formula1>$N$74:$N$78</formula1>
    </dataValidation>
    <dataValidation type="list" showErrorMessage="1" errorTitle="Invalid Selection" error="Please select your Regional Reaction in the area._x000a__x000a_* Drop-Down Menu *_x000a_ " promptTitle="Regional Reaction" prompt="_x000a_Select your Regional Reaction in the area._x000a__x000a_* Drop-down menu *" sqref="J8">
      <formula1>$O$74:$O$77</formula1>
    </dataValidation>
    <dataValidation type="whole" operator="greaterThan" showErrorMessage="1" errorTitle="Invalid Number" error="Please enter a whole number greater than 0." promptTitle="PC Defense" prompt="_x000a_Enter a whole number greater than 0." sqref="J13">
      <formula1>0</formula1>
    </dataValidation>
    <dataValidation type="list" showErrorMessage="1" errorTitle="Invalid Selection" error="Please select the PC Owner or 'Neutral'._x000a__x000a_* Drop-Down Menu *_x000a_ " promptTitle="Owned or Neutral" prompt="_x000a_Select whether the PC is Owned or Neutral._x000a__x000a_* Drop-down menu *" sqref="J15">
      <formula1>$U$57:$U$82</formula1>
    </dataValidation>
    <dataValidation type="list" showErrorMessage="1" errorTitle="Invalid Selection" error="Does the PC owner control the region?  Please select 'Yes' or 'No'._x000a__x000a_* Drop-Down Menu *_x000a_ " promptTitle="Control of Region" prompt="_x000a_Select whether the PC owner has control of the region._x000a__x000a_* Drop-down menu *" sqref="J21">
      <formula1>$Q$74:$Q$75</formula1>
    </dataValidation>
    <dataValidation type="list" showErrorMessage="1" errorTitle="Invalid Selection" error="Please select whether the PC owner has declared you as an Enemy or not._x000a__x000a_* Drop-Down Menu *_x000a_ " promptTitle="Enemy?" prompt="_x000a_Select whether the PC owner has declared you as an Enemy (or is your Natural Enemy)._x000a__x000a_* Drop-down menu *" sqref="J23">
      <formula1>$R$74:$R$75</formula1>
    </dataValidation>
    <dataValidation type="list" showErrorMessage="1" errorTitle="Invalid Selection" error="Please select an Emissary performing Status Quo._x000a__x000a_* Drop-Down Menu *_x000a_ " promptTitle="Status Quo?" prompt="_x000a_Select whether there may be Status Quo activity in the PC._x000a__x000a_* Drop-down menu *" sqref="H28:H32">
      <formula1>$S$74:$S$79</formula1>
    </dataValidation>
    <dataValidation type="whole" showErrorMessage="1" errorTitle="Invalid Number" error="_x000a_Please enter a whole number between 1 and 15._x000a_" promptTitle="Wizard Power" prompt="_x000a_Enter a whole number between 1 and 15." sqref="J46:J47">
      <formula1>1</formula1>
      <formula2>15</formula2>
    </dataValidation>
    <dataValidation type="decimal" showErrorMessage="1" errorTitle="Invalid Number" error="Please enter a number between 8 and 30." promptTitle="Value vs. PC" prompt="_x000a_Enter a whole number greater than or equal to 1000." sqref="I28:I32 I38:I42">
      <formula1>8</formula1>
      <formula2>30</formula2>
    </dataValidation>
    <dataValidation type="list" showErrorMessage="1" errorTitle="Invalid Selection" error="Did any emissary maintain status quo last turn?  Please select 'Yes' or 'No'._x000a__x000a_* Drop-Down Menu *_x000a_ " promptTitle="Control of Region" prompt="_x000a_Select whether the PC owner has control of the region._x000a__x000a_* Drop-down menu *" sqref="I25 I35">
      <formula1>$T$83:$T$84</formula1>
    </dataValidation>
    <dataValidation type="list" showErrorMessage="1" errorTitle="Invalid Selection" error="Please select 'Yes' or 'No'._x000a__x000a_* Drop-Down Menu *_x000a_ " promptTitle="Control of Region" prompt="_x000a_Select whether the PC owner has control of the region._x000a__x000a_* Drop-down menu *" sqref="J19 J17">
      <formula1>$Q$74:$Q$75</formula1>
    </dataValidation>
    <dataValidation type="list" showErrorMessage="1" errorTitle="Invalid Selection" error="Please select an Emissary performing Status Quo._x000a__x000a_* Drop-Down Menu *_x000a_ " promptTitle="Status Quo?" prompt="_x000a_Select whether there may be Status Quo activity in the PC._x000a__x000a_* Drop-down menu *" sqref="H38:H42">
      <formula1>$T$74:$T$79</formula1>
    </dataValidation>
    <dataValidation type="list" showErrorMessage="1" errorTitle="Invalid Selection" error="Please select the Kingdom of the Emissary performing Status Quo._x000a__x000a_* Drop-Down Menu *_x000a_ " promptTitle="Status Quo?" prompt="_x000a_Select whether there may be Status Quo activity in the PC._x000a__x000a_* Drop-down menu *" sqref="G38:G42">
      <formula1>$W$59:$W$82</formula1>
    </dataValidation>
    <dataValidation type="list" showErrorMessage="1" errorTitle="Invalid Selection" error="Please select the Kingdom of the Emissary performing Status Quo._x000a__x000a_* Drop-Down Menu *_x000a_ " promptTitle="Status Quo?" prompt="_x000a_Select whether there may be Status Quo activity in the PC._x000a__x000a_* Drop-down menu *" sqref="G28:G32">
      <formula1>$V$59:$V$82</formula1>
    </dataValidation>
    <dataValidation type="list" showErrorMessage="1" errorTitle="Invalid" error="Please select a Regional Reaction from the list._x000a__x000a_* Drop-down List *" promptTitle="Value vs. PC" prompt="_x000a_Enter a whole number greater than or equal to 1000." sqref="J38:J42 J28:J32">
      <formula1>$O$74:$O$77</formula1>
    </dataValidation>
  </dataValidations>
  <printOptions horizontalCentered="1"/>
  <pageMargins left="0.2" right="0.2" top="0.5" bottom="0.5" header="0.3" footer="0.3"/>
  <pageSetup scale="79" orientation="portrait" r:id="rId1"/>
  <headerFooter>
    <oddFooter>&amp;Lwww.Alamaze.co&amp;RPrepared by: Frost Lord</oddFooter>
  </headerFooter>
  <colBreaks count="1" manualBreakCount="1">
    <brk id="12" max="1048575" man="1"/>
  </colBreaks>
  <pictur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sheetPr>
  <dimension ref="A1:AN111"/>
  <sheetViews>
    <sheetView showGridLines="0" showRowColHeaders="0" zoomScale="90" zoomScaleNormal="90" workbookViewId="0">
      <selection activeCell="C2" sqref="C2"/>
    </sheetView>
  </sheetViews>
  <sheetFormatPr defaultRowHeight="15" x14ac:dyDescent="0.25"/>
  <cols>
    <col min="1" max="1" width="1.28515625" style="77" customWidth="1"/>
    <col min="2" max="2" width="3.28515625" style="104" customWidth="1"/>
    <col min="3" max="3" width="21.7109375" style="104" customWidth="1"/>
    <col min="4" max="4" width="3.28515625" style="104" customWidth="1"/>
    <col min="5" max="14" width="10.28515625" style="104" customWidth="1"/>
    <col min="15" max="15" width="1.28515625" style="77" customWidth="1"/>
    <col min="16" max="16" width="9.140625" style="77" customWidth="1"/>
    <col min="17" max="17" width="4.85546875" style="548" hidden="1" customWidth="1"/>
    <col min="18" max="18" width="18.42578125" style="550" hidden="1" customWidth="1"/>
    <col min="19" max="19" width="9.85546875" style="550" hidden="1" customWidth="1"/>
    <col min="20" max="20" width="9.28515625" style="550" hidden="1" customWidth="1"/>
    <col min="21" max="21" width="7" style="550" hidden="1" customWidth="1"/>
    <col min="22" max="22" width="14.85546875" style="550" hidden="1" customWidth="1"/>
    <col min="23" max="23" width="9.85546875" style="550" hidden="1" customWidth="1"/>
    <col min="24" max="24" width="9.28515625" style="550" hidden="1" customWidth="1"/>
    <col min="25" max="25" width="6.7109375" style="550" hidden="1" customWidth="1"/>
    <col min="26" max="26" width="15.5703125" style="550" hidden="1" customWidth="1"/>
    <col min="27" max="27" width="9.85546875" style="550" hidden="1" customWidth="1"/>
    <col min="28" max="28" width="9.28515625" style="550" hidden="1" customWidth="1"/>
    <col min="29" max="29" width="8" style="552" hidden="1" customWidth="1"/>
    <col min="30" max="30" width="14.7109375" style="552" hidden="1" customWidth="1"/>
    <col min="31" max="31" width="11.7109375" style="552" hidden="1" customWidth="1"/>
    <col min="32" max="32" width="9.28515625" style="552" hidden="1" customWidth="1"/>
    <col min="33" max="33" width="6.85546875" style="552" hidden="1" customWidth="1"/>
    <col min="34" max="34" width="15.42578125" style="552" hidden="1" customWidth="1"/>
    <col min="35" max="35" width="9.85546875" style="552" hidden="1" customWidth="1"/>
    <col min="36" max="36" width="9.28515625" style="552" hidden="1" customWidth="1"/>
    <col min="37" max="37" width="7.140625" style="552" hidden="1" customWidth="1"/>
    <col min="38" max="38" width="11" style="552" hidden="1" customWidth="1"/>
    <col min="39" max="39" width="3.42578125" style="552" hidden="1" customWidth="1"/>
    <col min="40" max="40" width="1.7109375" style="549" hidden="1" customWidth="1"/>
    <col min="41" max="16384" width="9.140625" style="77"/>
  </cols>
  <sheetData>
    <row r="1" spans="1:40" s="105" customFormat="1" ht="24" thickBot="1" x14ac:dyDescent="0.3">
      <c r="A1"/>
      <c r="B1" s="698" t="s">
        <v>366</v>
      </c>
      <c r="C1" s="698"/>
      <c r="D1" s="698"/>
      <c r="E1" s="698"/>
      <c r="F1" s="698"/>
      <c r="G1" s="698"/>
      <c r="H1" s="698"/>
      <c r="I1" s="698"/>
      <c r="J1" s="698"/>
      <c r="K1" s="698"/>
      <c r="L1" s="698"/>
      <c r="M1" s="698"/>
      <c r="N1" s="698"/>
      <c r="O1"/>
      <c r="P1"/>
      <c r="Q1" s="530"/>
      <c r="R1" s="531" t="s">
        <v>10</v>
      </c>
      <c r="S1" s="531"/>
      <c r="T1" s="531"/>
      <c r="U1" s="531"/>
      <c r="V1" s="531" t="s">
        <v>365</v>
      </c>
      <c r="W1" s="531"/>
      <c r="X1" s="531"/>
      <c r="Y1" s="531"/>
      <c r="Z1" s="531"/>
      <c r="AA1" s="532"/>
      <c r="AB1" s="531"/>
      <c r="AC1" s="531" t="s">
        <v>364</v>
      </c>
      <c r="AD1" s="531"/>
      <c r="AE1" s="531"/>
      <c r="AF1" s="531"/>
      <c r="AG1" s="531"/>
      <c r="AH1" s="531"/>
      <c r="AI1" s="531"/>
      <c r="AJ1" s="531"/>
      <c r="AK1" s="531"/>
      <c r="AL1" s="531"/>
      <c r="AM1" s="531"/>
      <c r="AN1" s="533"/>
    </row>
    <row r="2" spans="1:40" s="105" customFormat="1" ht="16.5" customHeight="1" thickTop="1" x14ac:dyDescent="0.25">
      <c r="A2" s="110"/>
      <c r="B2" s="509"/>
      <c r="C2" s="512" t="s">
        <v>745</v>
      </c>
      <c r="D2" s="740" t="s">
        <v>747</v>
      </c>
      <c r="E2" s="741"/>
      <c r="F2" s="741"/>
      <c r="G2" s="741"/>
      <c r="H2" s="742"/>
      <c r="I2" s="729" t="s">
        <v>748</v>
      </c>
      <c r="J2" s="730"/>
      <c r="K2" s="730"/>
      <c r="L2" s="730"/>
      <c r="M2" s="731">
        <v>0</v>
      </c>
      <c r="N2" s="732"/>
      <c r="O2" s="110"/>
      <c r="P2" s="110"/>
      <c r="Q2" s="534"/>
      <c r="R2" s="298"/>
      <c r="S2" s="298"/>
      <c r="T2" s="298"/>
      <c r="U2" s="298"/>
      <c r="V2" s="298"/>
      <c r="W2" s="298"/>
      <c r="X2" s="298"/>
      <c r="Y2" s="298"/>
      <c r="Z2" s="298"/>
      <c r="AA2" s="310"/>
      <c r="AB2" s="298"/>
      <c r="AC2" s="298"/>
      <c r="AD2" s="298"/>
      <c r="AE2" s="298"/>
      <c r="AF2" s="298"/>
      <c r="AG2" s="298"/>
      <c r="AH2" s="298"/>
      <c r="AI2" s="298"/>
      <c r="AJ2" s="298"/>
      <c r="AK2" s="298"/>
      <c r="AL2" s="315"/>
      <c r="AM2" s="315"/>
      <c r="AN2" s="535"/>
    </row>
    <row r="3" spans="1:40" s="105" customFormat="1" ht="16.5" customHeight="1" x14ac:dyDescent="0.25">
      <c r="A3" s="110"/>
      <c r="B3" s="510"/>
      <c r="C3" s="511" t="s">
        <v>330</v>
      </c>
      <c r="D3" s="744" t="s">
        <v>746</v>
      </c>
      <c r="E3" s="745"/>
      <c r="F3" s="745"/>
      <c r="G3" s="745"/>
      <c r="H3" s="746"/>
      <c r="I3" s="733" t="s">
        <v>750</v>
      </c>
      <c r="J3" s="734"/>
      <c r="K3" s="734"/>
      <c r="L3" s="734"/>
      <c r="M3" s="734"/>
      <c r="N3" s="735"/>
      <c r="O3" s="110"/>
      <c r="P3" s="110"/>
      <c r="Q3" s="531" t="s">
        <v>741</v>
      </c>
      <c r="R3" s="528">
        <v>1</v>
      </c>
      <c r="S3" s="528">
        <v>3</v>
      </c>
      <c r="T3" s="528">
        <v>5</v>
      </c>
      <c r="U3" s="528">
        <v>7</v>
      </c>
      <c r="V3" s="528">
        <v>9</v>
      </c>
      <c r="W3" s="528">
        <v>11</v>
      </c>
      <c r="X3" s="528">
        <v>13</v>
      </c>
      <c r="Y3" s="528">
        <v>15</v>
      </c>
      <c r="Z3" s="528">
        <v>17</v>
      </c>
      <c r="AA3" s="528">
        <v>19</v>
      </c>
      <c r="AB3" s="536">
        <v>1</v>
      </c>
      <c r="AC3" s="528">
        <v>3</v>
      </c>
      <c r="AD3" s="528">
        <v>5</v>
      </c>
      <c r="AE3" s="528">
        <v>7</v>
      </c>
      <c r="AF3" s="528">
        <v>9</v>
      </c>
      <c r="AG3" s="528">
        <v>11</v>
      </c>
      <c r="AH3" s="528">
        <v>13</v>
      </c>
      <c r="AI3" s="528">
        <v>15</v>
      </c>
      <c r="AJ3" s="528">
        <v>17</v>
      </c>
      <c r="AK3" s="528">
        <v>19</v>
      </c>
      <c r="AL3" s="298"/>
      <c r="AM3" s="298"/>
      <c r="AN3" s="535"/>
    </row>
    <row r="4" spans="1:40" s="105" customFormat="1" ht="15" customHeight="1" x14ac:dyDescent="0.25">
      <c r="A4" s="110"/>
      <c r="B4" s="758" t="str">
        <f>IF($C$2="","",IF($C$2="&lt; Select your Kingdom &gt;","",VLOOKUP($C$2,$AD$60:$AE$83,2,FALSE)))</f>
        <v/>
      </c>
      <c r="C4" s="759"/>
      <c r="D4" s="760"/>
      <c r="E4" s="747" t="s">
        <v>749</v>
      </c>
      <c r="F4" s="700"/>
      <c r="G4" s="700"/>
      <c r="H4" s="748"/>
      <c r="I4" s="733"/>
      <c r="J4" s="734"/>
      <c r="K4" s="734"/>
      <c r="L4" s="734"/>
      <c r="M4" s="734"/>
      <c r="N4" s="735"/>
      <c r="O4" s="110"/>
      <c r="P4" s="110"/>
      <c r="Q4" s="535"/>
      <c r="R4" s="298"/>
      <c r="S4" s="298"/>
      <c r="T4" s="298"/>
      <c r="U4" s="298"/>
      <c r="V4" s="298"/>
      <c r="W4" s="298"/>
      <c r="X4" s="298"/>
      <c r="Y4" s="298"/>
      <c r="Z4" s="298"/>
      <c r="AA4" s="310"/>
      <c r="AB4" s="298"/>
      <c r="AC4" s="298"/>
      <c r="AD4" s="298"/>
      <c r="AE4" s="298"/>
      <c r="AF4" s="298"/>
      <c r="AG4" s="298"/>
      <c r="AH4" s="298"/>
      <c r="AI4" s="298"/>
      <c r="AJ4" s="298"/>
      <c r="AK4" s="298"/>
      <c r="AL4" s="298"/>
      <c r="AM4" s="298"/>
      <c r="AN4" s="535"/>
    </row>
    <row r="5" spans="1:40" s="105" customFormat="1" ht="15" customHeight="1" x14ac:dyDescent="0.25">
      <c r="A5" s="110"/>
      <c r="B5" s="761" t="str">
        <f>IF(LEFT(V91,1)=",",TRIM(MID(V91,3,255)),V91)</f>
        <v/>
      </c>
      <c r="C5" s="762"/>
      <c r="D5" s="763"/>
      <c r="E5" s="749"/>
      <c r="F5" s="750"/>
      <c r="G5" s="750"/>
      <c r="H5" s="751"/>
      <c r="I5" s="733"/>
      <c r="J5" s="734"/>
      <c r="K5" s="734"/>
      <c r="L5" s="734"/>
      <c r="M5" s="734"/>
      <c r="N5" s="735"/>
      <c r="O5" s="110"/>
      <c r="P5" s="110"/>
      <c r="Q5" s="535"/>
      <c r="R5" s="298"/>
      <c r="S5" s="298"/>
      <c r="T5" s="298"/>
      <c r="U5" s="298"/>
      <c r="V5" s="298"/>
      <c r="W5" s="298"/>
      <c r="X5" s="298"/>
      <c r="Y5" s="298"/>
      <c r="Z5" s="298"/>
      <c r="AA5" s="310"/>
      <c r="AB5" s="298"/>
      <c r="AC5" s="298"/>
      <c r="AD5" s="298"/>
      <c r="AE5" s="298"/>
      <c r="AF5" s="298"/>
      <c r="AG5" s="298"/>
      <c r="AH5" s="298"/>
      <c r="AI5" s="298"/>
      <c r="AJ5" s="298"/>
      <c r="AK5" s="298"/>
      <c r="AL5" s="298"/>
      <c r="AM5" s="298"/>
      <c r="AN5" s="535"/>
    </row>
    <row r="6" spans="1:40" s="105" customFormat="1" x14ac:dyDescent="0.25">
      <c r="A6" s="110"/>
      <c r="B6" s="761"/>
      <c r="C6" s="762"/>
      <c r="D6" s="763"/>
      <c r="E6" s="752" t="s">
        <v>751</v>
      </c>
      <c r="F6" s="753"/>
      <c r="G6" s="753"/>
      <c r="H6" s="754"/>
      <c r="I6" s="733"/>
      <c r="J6" s="734"/>
      <c r="K6" s="734"/>
      <c r="L6" s="734"/>
      <c r="M6" s="734"/>
      <c r="N6" s="735"/>
      <c r="O6" s="110"/>
      <c r="P6" s="110"/>
      <c r="Q6" s="535"/>
      <c r="R6" s="298"/>
      <c r="S6" s="298"/>
      <c r="T6" s="298"/>
      <c r="U6" s="298"/>
      <c r="V6" s="298"/>
      <c r="W6" s="298"/>
      <c r="X6" s="298"/>
      <c r="Y6" s="298"/>
      <c r="Z6" s="298"/>
      <c r="AA6" s="310"/>
      <c r="AB6" s="298"/>
      <c r="AC6" s="298"/>
      <c r="AD6" s="298"/>
      <c r="AE6" s="298"/>
      <c r="AF6" s="298"/>
      <c r="AG6" s="298"/>
      <c r="AH6" s="298"/>
      <c r="AI6" s="298"/>
      <c r="AJ6" s="298"/>
      <c r="AK6" s="298"/>
      <c r="AL6" s="298"/>
      <c r="AM6" s="298"/>
      <c r="AN6" s="535"/>
    </row>
    <row r="7" spans="1:40" s="105" customFormat="1" ht="15" customHeight="1" thickBot="1" x14ac:dyDescent="0.3">
      <c r="A7" s="110"/>
      <c r="B7" s="764"/>
      <c r="C7" s="765"/>
      <c r="D7" s="766"/>
      <c r="E7" s="755"/>
      <c r="F7" s="756"/>
      <c r="G7" s="756"/>
      <c r="H7" s="757"/>
      <c r="I7" s="736"/>
      <c r="J7" s="737"/>
      <c r="K7" s="737"/>
      <c r="L7" s="737"/>
      <c r="M7" s="737"/>
      <c r="N7" s="738"/>
      <c r="O7" s="110"/>
      <c r="P7" s="110"/>
      <c r="Q7" s="535"/>
      <c r="R7" s="298"/>
      <c r="S7" s="298"/>
      <c r="T7" s="298"/>
      <c r="U7" s="298"/>
      <c r="V7" s="298"/>
      <c r="W7" s="298"/>
      <c r="X7" s="298"/>
      <c r="Y7" s="298"/>
      <c r="Z7" s="298"/>
      <c r="AA7" s="310"/>
      <c r="AB7" s="298"/>
      <c r="AC7" s="298"/>
      <c r="AD7" s="298"/>
      <c r="AE7" s="298"/>
      <c r="AF7" s="298"/>
      <c r="AG7" s="298"/>
      <c r="AH7" s="298"/>
      <c r="AI7" s="298"/>
      <c r="AJ7" s="298"/>
      <c r="AK7" s="298"/>
      <c r="AL7" s="298"/>
      <c r="AM7" s="298"/>
      <c r="AN7" s="535"/>
    </row>
    <row r="8" spans="1:40" s="105" customFormat="1" ht="3.95" customHeight="1" thickTop="1" thickBot="1" x14ac:dyDescent="0.3">
      <c r="A8"/>
      <c r="B8" s="133"/>
      <c r="C8" s="133" t="s">
        <v>361</v>
      </c>
      <c r="D8" s="133"/>
      <c r="E8" s="132"/>
      <c r="F8" s="132"/>
      <c r="G8" s="132"/>
      <c r="H8" s="132"/>
      <c r="I8" s="132"/>
      <c r="J8" s="132"/>
      <c r="K8" s="132"/>
      <c r="L8" s="132"/>
      <c r="M8" s="132"/>
      <c r="N8" s="132"/>
      <c r="O8"/>
      <c r="P8"/>
      <c r="Q8" s="535"/>
      <c r="R8" s="298"/>
      <c r="S8" s="298"/>
      <c r="T8" s="298"/>
      <c r="U8" s="298"/>
      <c r="V8" s="298"/>
      <c r="W8" s="298"/>
      <c r="X8" s="298"/>
      <c r="Y8" s="298"/>
      <c r="Z8" s="298"/>
      <c r="AA8" s="310"/>
      <c r="AB8" s="298"/>
      <c r="AC8" s="298"/>
      <c r="AD8" s="298"/>
      <c r="AE8" s="298"/>
      <c r="AF8" s="298"/>
      <c r="AG8" s="298"/>
      <c r="AH8" s="298"/>
      <c r="AI8" s="298"/>
      <c r="AJ8" s="298"/>
      <c r="AK8" s="298"/>
      <c r="AL8" s="298"/>
      <c r="AM8" s="298"/>
      <c r="AN8" s="535"/>
    </row>
    <row r="9" spans="1:40" s="105" customFormat="1" ht="15.95" customHeight="1" thickTop="1" x14ac:dyDescent="0.25">
      <c r="A9" s="110"/>
      <c r="B9" s="720" t="s">
        <v>363</v>
      </c>
      <c r="C9" s="721"/>
      <c r="D9" s="722"/>
      <c r="E9" s="714" t="str">
        <f>IF($C$3="","",IF($C$3="&lt; Select Agent or Fanatic &gt;","",CONCATENATE("Your ",$C$3,"'s Level")))</f>
        <v/>
      </c>
      <c r="F9" s="715"/>
      <c r="G9" s="715"/>
      <c r="H9" s="715"/>
      <c r="I9" s="715"/>
      <c r="J9" s="715"/>
      <c r="K9" s="715"/>
      <c r="L9" s="715"/>
      <c r="M9" s="715"/>
      <c r="N9" s="716"/>
      <c r="O9" s="110"/>
      <c r="P9" s="110"/>
      <c r="Q9" s="535"/>
      <c r="R9" s="298"/>
      <c r="S9" s="298"/>
      <c r="T9" s="298"/>
      <c r="U9" s="298"/>
      <c r="V9" s="298"/>
      <c r="W9" s="298"/>
      <c r="X9" s="298"/>
      <c r="Y9" s="298"/>
      <c r="Z9" s="298"/>
      <c r="AA9" s="310"/>
      <c r="AB9" s="298"/>
      <c r="AC9" s="298"/>
      <c r="AD9" s="298"/>
      <c r="AE9" s="298"/>
      <c r="AF9" s="298"/>
      <c r="AG9" s="298"/>
      <c r="AH9" s="298"/>
      <c r="AI9" s="298"/>
      <c r="AJ9" s="298"/>
      <c r="AK9" s="298"/>
      <c r="AL9" s="298"/>
      <c r="AM9" s="298"/>
      <c r="AN9" s="535"/>
    </row>
    <row r="10" spans="1:40" s="105" customFormat="1" ht="15.95" customHeight="1" thickBot="1" x14ac:dyDescent="0.3">
      <c r="A10" s="110"/>
      <c r="B10" s="723"/>
      <c r="C10" s="724"/>
      <c r="D10" s="725"/>
      <c r="E10" s="717" t="str">
        <f>IF($C$3="","",IF($C$3="&lt; Select Agent or Fanatic &gt;","","[ Percent % Chance of Success ]  /  [ Percent % Chance of Being Captured ]"))</f>
        <v/>
      </c>
      <c r="F10" s="718"/>
      <c r="G10" s="718"/>
      <c r="H10" s="718"/>
      <c r="I10" s="718"/>
      <c r="J10" s="718"/>
      <c r="K10" s="718"/>
      <c r="L10" s="718"/>
      <c r="M10" s="718"/>
      <c r="N10" s="719"/>
      <c r="O10" s="110"/>
      <c r="P10" s="110"/>
      <c r="Q10" s="535"/>
      <c r="R10" s="298"/>
      <c r="S10" s="298"/>
      <c r="T10" s="298"/>
      <c r="U10" s="298"/>
      <c r="V10" s="298"/>
      <c r="W10" s="298"/>
      <c r="X10" s="298"/>
      <c r="Y10" s="298"/>
      <c r="Z10" s="298"/>
      <c r="AA10" s="310"/>
      <c r="AB10" s="298"/>
      <c r="AC10" s="298"/>
      <c r="AD10" s="298"/>
      <c r="AE10" s="298"/>
      <c r="AF10" s="298"/>
      <c r="AG10" s="298"/>
      <c r="AH10" s="298"/>
      <c r="AI10" s="298"/>
      <c r="AJ10" s="298"/>
      <c r="AK10" s="298"/>
      <c r="AL10" s="298"/>
      <c r="AM10" s="298"/>
      <c r="AN10" s="535"/>
    </row>
    <row r="11" spans="1:40" s="105" customFormat="1" ht="16.5" customHeight="1" thickTop="1" thickBot="1" x14ac:dyDescent="0.3">
      <c r="A11" s="110"/>
      <c r="B11" s="726"/>
      <c r="C11" s="727"/>
      <c r="D11" s="728"/>
      <c r="E11" s="120" t="str">
        <f t="shared" ref="E11:N11" si="0">IF($C$3="","",IF($C$3="&lt; Select Agent or Fanatic &gt;","",CONCATENATE($C$3," ",R$3)))</f>
        <v/>
      </c>
      <c r="F11" s="119" t="str">
        <f t="shared" si="0"/>
        <v/>
      </c>
      <c r="G11" s="119" t="str">
        <f t="shared" si="0"/>
        <v/>
      </c>
      <c r="H11" s="119" t="str">
        <f t="shared" si="0"/>
        <v/>
      </c>
      <c r="I11" s="119" t="str">
        <f t="shared" si="0"/>
        <v/>
      </c>
      <c r="J11" s="119" t="str">
        <f t="shared" si="0"/>
        <v/>
      </c>
      <c r="K11" s="119" t="str">
        <f t="shared" si="0"/>
        <v/>
      </c>
      <c r="L11" s="119" t="str">
        <f t="shared" si="0"/>
        <v/>
      </c>
      <c r="M11" s="119" t="str">
        <f t="shared" si="0"/>
        <v/>
      </c>
      <c r="N11" s="118" t="str">
        <f t="shared" si="0"/>
        <v/>
      </c>
      <c r="O11" s="110"/>
      <c r="P11" s="110"/>
      <c r="Q11" s="534"/>
      <c r="R11" s="301"/>
      <c r="S11" s="301"/>
      <c r="T11" s="301"/>
      <c r="U11" s="301"/>
      <c r="V11" s="301"/>
      <c r="W11" s="301"/>
      <c r="X11" s="301"/>
      <c r="Y11" s="301"/>
      <c r="Z11" s="301"/>
      <c r="AA11" s="537"/>
      <c r="AB11" s="301"/>
      <c r="AC11" s="298"/>
      <c r="AD11" s="298"/>
      <c r="AE11" s="298"/>
      <c r="AF11" s="298"/>
      <c r="AG11" s="298"/>
      <c r="AH11" s="298"/>
      <c r="AI11" s="298"/>
      <c r="AJ11" s="298"/>
      <c r="AK11" s="298"/>
      <c r="AL11" s="298"/>
      <c r="AM11" s="298"/>
      <c r="AN11" s="535"/>
    </row>
    <row r="12" spans="1:40" s="105" customFormat="1" ht="15.75" customHeight="1" thickTop="1" x14ac:dyDescent="0.25">
      <c r="A12" s="110"/>
      <c r="B12" s="134"/>
      <c r="C12" s="116" t="s">
        <v>325</v>
      </c>
      <c r="D12" s="130"/>
      <c r="E12" s="114" t="str">
        <f t="shared" ref="E12:N12" si="1">IF($M$2="","",IF($C$2="","",IF($C$2="&lt; Select your Kingdom &gt;","",IF($C12="","",IF($C12="&lt; Kidnap Character &gt;","",IF($C$3="","",IF($C$3="&lt; Select Agent or Fanatic &gt;","",IF($C$3="Fanatic",CONCATENATE(R12+10,"/",AB12+10),CONCATENATE(R12,"/",AB12)))))))))</f>
        <v/>
      </c>
      <c r="F12" s="113" t="str">
        <f t="shared" si="1"/>
        <v/>
      </c>
      <c r="G12" s="113" t="str">
        <f t="shared" si="1"/>
        <v/>
      </c>
      <c r="H12" s="113" t="str">
        <f t="shared" si="1"/>
        <v/>
      </c>
      <c r="I12" s="113" t="str">
        <f t="shared" si="1"/>
        <v/>
      </c>
      <c r="J12" s="113" t="str">
        <f t="shared" si="1"/>
        <v/>
      </c>
      <c r="K12" s="113" t="str">
        <f t="shared" si="1"/>
        <v/>
      </c>
      <c r="L12" s="113" t="str">
        <f t="shared" si="1"/>
        <v/>
      </c>
      <c r="M12" s="113" t="str">
        <f t="shared" si="1"/>
        <v/>
      </c>
      <c r="N12" s="112" t="str">
        <f t="shared" si="1"/>
        <v/>
      </c>
      <c r="O12" s="110"/>
      <c r="P12" s="110"/>
      <c r="Q12" s="535"/>
      <c r="R12" s="562" t="str">
        <f t="shared" ref="R12:AA12" si="2">IF($C12="","",IF($C12="&lt; Kidnap Character &gt;","",IF((VLOOKUP($C12,$R$66:$T$75,2,FALSE)+((R$3)*5)-$M$2+$W$90)&gt;97,97,IF((VLOOKUP($C12,$R$66:$T$75,2,FALSE)+((R$3)*5)-$M$2+$W$90)&lt;3,3,VLOOKUP($C12,$R$66:$T$75,2,FALSE)+((R$3)*5)-$M$2+$W$90))))</f>
        <v/>
      </c>
      <c r="S12" s="562" t="str">
        <f t="shared" si="2"/>
        <v/>
      </c>
      <c r="T12" s="562" t="str">
        <f t="shared" si="2"/>
        <v/>
      </c>
      <c r="U12" s="562" t="str">
        <f t="shared" si="2"/>
        <v/>
      </c>
      <c r="V12" s="562" t="str">
        <f t="shared" si="2"/>
        <v/>
      </c>
      <c r="W12" s="562" t="str">
        <f t="shared" si="2"/>
        <v/>
      </c>
      <c r="X12" s="562" t="str">
        <f t="shared" si="2"/>
        <v/>
      </c>
      <c r="Y12" s="562" t="str">
        <f t="shared" si="2"/>
        <v/>
      </c>
      <c r="Z12" s="562" t="str">
        <f t="shared" si="2"/>
        <v/>
      </c>
      <c r="AA12" s="562" t="str">
        <f t="shared" si="2"/>
        <v/>
      </c>
      <c r="AB12" s="562" t="str">
        <f>IF($C12="","",IF($C12="&lt; Kidnap Character &gt;","",IF(((VLOOKUP($C12,$R$66:$T$75,3,FALSE)-((AB$3)*5)+$M$2-$W$87-$W$90)*$W$89)&gt;97,97,IF(((VLOOKUP($C12,$R$66:$T$75,3,FALSE)-((AB$3)*5)+$M$2-$W$87-$W$90)*$W$89)&lt;3,3,ROUNDUP((VLOOKUP($C12,$R$66:$T$75,3,FALSE)-((AB$3)*5)+$M$2-$W$87-$W$90)*$W$89,0)))))</f>
        <v/>
      </c>
      <c r="AC12" s="562" t="str">
        <f t="shared" ref="AC12:AK12" si="3">IF($C12="","",IF($C12="&lt; Kidnap Character &gt;","",IF(((VLOOKUP($C12,$R$66:$T$75,3,FALSE)-((AC$3)*5)+$M$2-$W$87-$W$90)*$W$89)&gt;97,97,IF(((VLOOKUP($C12,$R$66:$T$75,3,FALSE)-((AC$3)*5)+$M$2-$W$87-$W$90)*$W$89)&lt;3,3,ROUNDUP((VLOOKUP($C12,$R$66:$T$75,3,FALSE)-((AC$3)*5)+$M$2-$W$87-$W$90)*$W$89,0)))))</f>
        <v/>
      </c>
      <c r="AD12" s="562" t="str">
        <f t="shared" si="3"/>
        <v/>
      </c>
      <c r="AE12" s="562" t="str">
        <f t="shared" si="3"/>
        <v/>
      </c>
      <c r="AF12" s="562" t="str">
        <f t="shared" si="3"/>
        <v/>
      </c>
      <c r="AG12" s="562" t="str">
        <f t="shared" si="3"/>
        <v/>
      </c>
      <c r="AH12" s="562" t="str">
        <f t="shared" si="3"/>
        <v/>
      </c>
      <c r="AI12" s="562" t="str">
        <f t="shared" si="3"/>
        <v/>
      </c>
      <c r="AJ12" s="562" t="str">
        <f t="shared" si="3"/>
        <v/>
      </c>
      <c r="AK12" s="562" t="str">
        <f t="shared" si="3"/>
        <v/>
      </c>
      <c r="AL12" s="538"/>
      <c r="AM12" s="538"/>
      <c r="AN12" s="535"/>
    </row>
    <row r="13" spans="1:40" s="105" customFormat="1" ht="15.75" customHeight="1" x14ac:dyDescent="0.25">
      <c r="A13" s="110"/>
      <c r="B13" s="134"/>
      <c r="C13" s="116" t="s">
        <v>324</v>
      </c>
      <c r="D13" s="130"/>
      <c r="E13" s="129" t="str">
        <f t="shared" ref="E13:N13" si="4">IF($M$2="","",IF($C$2="","",IF($C$2="&lt; Select your Kingdom &gt;","",IF($C13="","",IF($C13="&lt; Kidnap Agent &gt;","",IF($C$3="","",IF($C$3="&lt; Select Agent or Fanatic &gt;","",IF($C$3="Fanatic",CONCATENATE(R13+10,"/",AB13+10),CONCATENATE(R13,"/",AB13)))))))))</f>
        <v/>
      </c>
      <c r="F13" s="128" t="str">
        <f t="shared" si="4"/>
        <v/>
      </c>
      <c r="G13" s="128" t="str">
        <f t="shared" si="4"/>
        <v/>
      </c>
      <c r="H13" s="128" t="str">
        <f t="shared" si="4"/>
        <v/>
      </c>
      <c r="I13" s="128" t="str">
        <f t="shared" si="4"/>
        <v/>
      </c>
      <c r="J13" s="128" t="str">
        <f t="shared" si="4"/>
        <v/>
      </c>
      <c r="K13" s="128" t="str">
        <f t="shared" si="4"/>
        <v/>
      </c>
      <c r="L13" s="128" t="str">
        <f t="shared" si="4"/>
        <v/>
      </c>
      <c r="M13" s="128" t="str">
        <f t="shared" si="4"/>
        <v/>
      </c>
      <c r="N13" s="127" t="str">
        <f t="shared" si="4"/>
        <v/>
      </c>
      <c r="O13" s="110"/>
      <c r="P13" s="110"/>
      <c r="Q13" s="535"/>
      <c r="R13" s="562" t="str">
        <f t="shared" ref="R13:AA13" si="5">IF($C13="","",IF($C13="&lt; Kidnap Agent &gt;","",IF((VLOOKUP($C13,$V$66:$X$84,2,FALSE)+((R$3)*5)-$M$2+$W$90)&gt;97,97,IF((VLOOKUP($C13,$V$66:$X$84,2,FALSE)+((R$3)*5)-$M$2+$W$90)&lt;3,3,VLOOKUP($C13,$V$66:$X$84,2,FALSE)+((R$3)*5)-$M$2+$W$90))))</f>
        <v/>
      </c>
      <c r="S13" s="562" t="str">
        <f t="shared" si="5"/>
        <v/>
      </c>
      <c r="T13" s="562" t="str">
        <f t="shared" si="5"/>
        <v/>
      </c>
      <c r="U13" s="562" t="str">
        <f t="shared" si="5"/>
        <v/>
      </c>
      <c r="V13" s="562" t="str">
        <f t="shared" si="5"/>
        <v/>
      </c>
      <c r="W13" s="562" t="str">
        <f t="shared" si="5"/>
        <v/>
      </c>
      <c r="X13" s="562" t="str">
        <f t="shared" si="5"/>
        <v/>
      </c>
      <c r="Y13" s="562" t="str">
        <f t="shared" si="5"/>
        <v/>
      </c>
      <c r="Z13" s="562" t="str">
        <f t="shared" si="5"/>
        <v/>
      </c>
      <c r="AA13" s="562" t="str">
        <f t="shared" si="5"/>
        <v/>
      </c>
      <c r="AB13" s="562" t="str">
        <f>IF($C13="","",IF($C13="&lt; Kidnap Agent &gt;","",IF(((VLOOKUP($C13,$V$66:$X$84,3,FALSE)-((AB$3)*5)+$M$2-$W$87-$W$90)*$W$89)&gt;97,97,IF(((VLOOKUP($C13,$V$66:$X$84,3,FALSE)-((AB$3)*5)+$M$2-$W$87-$W$90)*$W$89)&lt;3,3,ROUNDUP((VLOOKUP($C13,$V$66:$X$84,3,FALSE)-((AB$3)*5)+$M$2-$W$87-$W$90)*$W$89,0)))))</f>
        <v/>
      </c>
      <c r="AC13" s="562" t="str">
        <f t="shared" ref="AC13:AK13" si="6">IF($C13="","",IF($C13="&lt; Kidnap Agent &gt;","",IF(((VLOOKUP($C13,$V$66:$X$84,3,FALSE)-((AC$3)*5)+$M$2-$W$87-$W$90)*$W$89)&gt;97,97,IF(((VLOOKUP($C13,$V$66:$X$84,3,FALSE)-((AC$3)*5)+$M$2-$W$87-$W$90)*$W$89)&lt;3,3,ROUNDUP((VLOOKUP($C13,$V$66:$X$84,3,FALSE)-((AC$3)*5)+$M$2-$W$87-$W$90)*$W$89,0)))))</f>
        <v/>
      </c>
      <c r="AD13" s="562" t="str">
        <f t="shared" si="6"/>
        <v/>
      </c>
      <c r="AE13" s="562" t="str">
        <f t="shared" si="6"/>
        <v/>
      </c>
      <c r="AF13" s="562" t="str">
        <f t="shared" si="6"/>
        <v/>
      </c>
      <c r="AG13" s="562" t="str">
        <f t="shared" si="6"/>
        <v/>
      </c>
      <c r="AH13" s="562" t="str">
        <f t="shared" si="6"/>
        <v/>
      </c>
      <c r="AI13" s="562" t="str">
        <f t="shared" si="6"/>
        <v/>
      </c>
      <c r="AJ13" s="562" t="str">
        <f t="shared" si="6"/>
        <v/>
      </c>
      <c r="AK13" s="562" t="str">
        <f t="shared" si="6"/>
        <v/>
      </c>
      <c r="AL13" s="538"/>
      <c r="AM13" s="538"/>
      <c r="AN13" s="535"/>
    </row>
    <row r="14" spans="1:40" s="105" customFormat="1" ht="15.75" customHeight="1" x14ac:dyDescent="0.25">
      <c r="A14"/>
      <c r="B14" s="134"/>
      <c r="C14" s="116" t="s">
        <v>323</v>
      </c>
      <c r="D14" s="115"/>
      <c r="E14" s="129" t="str">
        <f t="shared" ref="E14:N14" si="7">IF($M$2="","",IF($C$2="","",IF($C$2="&lt; Select your Kingdom &gt;","",IF($C14="","",IF($C14="&lt; Kidnap Fanatic &gt;","",IF($C$3="","",IF($C$3="&lt; Select Agent or Fanatic &gt;","",IF($C$3="Fanatic",CONCATENATE(R14+10,"/",AB14+10),CONCATENATE(R14,"/",AB14)))))))))</f>
        <v/>
      </c>
      <c r="F14" s="128" t="str">
        <f t="shared" si="7"/>
        <v/>
      </c>
      <c r="G14" s="128" t="str">
        <f t="shared" si="7"/>
        <v/>
      </c>
      <c r="H14" s="128" t="str">
        <f t="shared" si="7"/>
        <v/>
      </c>
      <c r="I14" s="128" t="str">
        <f t="shared" si="7"/>
        <v/>
      </c>
      <c r="J14" s="128" t="str">
        <f t="shared" si="7"/>
        <v/>
      </c>
      <c r="K14" s="128" t="str">
        <f t="shared" si="7"/>
        <v/>
      </c>
      <c r="L14" s="128" t="str">
        <f t="shared" si="7"/>
        <v/>
      </c>
      <c r="M14" s="128" t="str">
        <f t="shared" si="7"/>
        <v/>
      </c>
      <c r="N14" s="127" t="str">
        <f t="shared" si="7"/>
        <v/>
      </c>
      <c r="O14"/>
      <c r="P14"/>
      <c r="Q14" s="535"/>
      <c r="R14" s="562" t="str">
        <f t="shared" ref="R14:AA14" si="8">IF($C14="","",IF($C14="&lt; Kidnap Fanatic &gt;","",IF((VLOOKUP($C14,$Z$66:$AB$84,2,FALSE)+((R$3)*5)-$M$2+$W$90)&gt;97,97,IF((VLOOKUP($C14,$Z$66:$AB$84,2,FALSE)+((R$3)*5)-$M$2+$W$90)&lt;3,3,VLOOKUP($C14,$Z$66:$AB$84,2,FALSE)+((R$3)*5)-$M$2+$W$90))))</f>
        <v/>
      </c>
      <c r="S14" s="562" t="str">
        <f t="shared" si="8"/>
        <v/>
      </c>
      <c r="T14" s="562" t="str">
        <f t="shared" si="8"/>
        <v/>
      </c>
      <c r="U14" s="562" t="str">
        <f t="shared" si="8"/>
        <v/>
      </c>
      <c r="V14" s="562" t="str">
        <f t="shared" si="8"/>
        <v/>
      </c>
      <c r="W14" s="562" t="str">
        <f t="shared" si="8"/>
        <v/>
      </c>
      <c r="X14" s="562" t="str">
        <f t="shared" si="8"/>
        <v/>
      </c>
      <c r="Y14" s="562" t="str">
        <f t="shared" si="8"/>
        <v/>
      </c>
      <c r="Z14" s="562" t="str">
        <f t="shared" si="8"/>
        <v/>
      </c>
      <c r="AA14" s="562" t="str">
        <f t="shared" si="8"/>
        <v/>
      </c>
      <c r="AB14" s="562" t="str">
        <f>IF($C14="","",IF($C14="&lt; Kidnap Fanatic &gt;","",IF(((VLOOKUP($C14,$Z$66:$AB$84,3,FALSE)-((AB$3)*5)+$M$2-$W$87-$W$90)*$W$89)&gt;97,97,IF(((VLOOKUP($C14,$Z$66:$AB$84,3,FALSE)-((AB$3)*5)+$M$2-$W$87-$W$90)*$W$89)&lt;3,3,ROUNDUP((VLOOKUP($C14,$Z$66:$AB$84,3,FALSE)-((AB$3)*5)+$M$2-$W$87-$W$90)*$W$89,0)))))</f>
        <v/>
      </c>
      <c r="AC14" s="562" t="str">
        <f t="shared" ref="AC14:AK14" si="9">IF($C14="","",IF($C14="&lt; Kidnap Fanatic &gt;","",IF(((VLOOKUP($C14,$Z$66:$AB$84,3,FALSE)-((AC$3)*5)+$M$2-$W$87-$W$90)*$W$89)&gt;97,97,IF(((VLOOKUP($C14,$Z$66:$AB$84,3,FALSE)-((AC$3)*5)+$M$2-$W$87-$W$90)*$W$89)&lt;3,3,ROUNDUP((VLOOKUP($C14,$Z$66:$AB$84,3,FALSE)-((AC$3)*5)+$M$2-$W$87-$W$90)*$W$89,0)))))</f>
        <v/>
      </c>
      <c r="AD14" s="562" t="str">
        <f t="shared" si="9"/>
        <v/>
      </c>
      <c r="AE14" s="562" t="str">
        <f t="shared" si="9"/>
        <v/>
      </c>
      <c r="AF14" s="562" t="str">
        <f t="shared" si="9"/>
        <v/>
      </c>
      <c r="AG14" s="562" t="str">
        <f t="shared" si="9"/>
        <v/>
      </c>
      <c r="AH14" s="562" t="str">
        <f t="shared" si="9"/>
        <v/>
      </c>
      <c r="AI14" s="562" t="str">
        <f t="shared" si="9"/>
        <v/>
      </c>
      <c r="AJ14" s="562" t="str">
        <f t="shared" si="9"/>
        <v/>
      </c>
      <c r="AK14" s="562" t="str">
        <f t="shared" si="9"/>
        <v/>
      </c>
      <c r="AL14" s="538"/>
      <c r="AM14" s="538"/>
      <c r="AN14" s="535"/>
    </row>
    <row r="15" spans="1:40" s="105" customFormat="1" ht="12.95" customHeight="1" x14ac:dyDescent="0.25">
      <c r="A15" s="110"/>
      <c r="B15" s="699" t="s">
        <v>362</v>
      </c>
      <c r="C15" s="700"/>
      <c r="D15" s="700"/>
      <c r="E15" s="700"/>
      <c r="F15" s="700"/>
      <c r="G15" s="700"/>
      <c r="H15" s="700"/>
      <c r="I15" s="700"/>
      <c r="J15" s="700"/>
      <c r="K15" s="700"/>
      <c r="L15" s="700"/>
      <c r="M15" s="700"/>
      <c r="N15" s="701"/>
      <c r="O15" s="110"/>
      <c r="P15" s="110"/>
      <c r="Q15" s="535"/>
      <c r="R15" s="298"/>
      <c r="S15" s="298"/>
      <c r="T15" s="298"/>
      <c r="U15" s="298"/>
      <c r="V15" s="298"/>
      <c r="W15" s="298"/>
      <c r="X15" s="298"/>
      <c r="Y15" s="298"/>
      <c r="Z15" s="298"/>
      <c r="AA15" s="310"/>
      <c r="AB15" s="298"/>
      <c r="AC15" s="298"/>
      <c r="AD15" s="298"/>
      <c r="AE15" s="298"/>
      <c r="AF15" s="298"/>
      <c r="AG15" s="298"/>
      <c r="AH15" s="298"/>
      <c r="AI15" s="298"/>
      <c r="AJ15" s="298"/>
      <c r="AK15" s="298"/>
      <c r="AL15" s="298"/>
      <c r="AM15" s="298"/>
      <c r="AN15" s="535"/>
    </row>
    <row r="16" spans="1:40" s="105" customFormat="1" ht="12.95" customHeight="1" thickBot="1" x14ac:dyDescent="0.3">
      <c r="A16" s="110"/>
      <c r="B16" s="702"/>
      <c r="C16" s="703"/>
      <c r="D16" s="703"/>
      <c r="E16" s="703"/>
      <c r="F16" s="703"/>
      <c r="G16" s="703"/>
      <c r="H16" s="703"/>
      <c r="I16" s="703"/>
      <c r="J16" s="703"/>
      <c r="K16" s="703"/>
      <c r="L16" s="703"/>
      <c r="M16" s="703"/>
      <c r="N16" s="704"/>
      <c r="O16" s="110"/>
      <c r="P16" s="110"/>
      <c r="Q16" s="535"/>
      <c r="R16" s="298"/>
      <c r="S16" s="298"/>
      <c r="T16" s="298"/>
      <c r="U16" s="298"/>
      <c r="V16" s="298"/>
      <c r="W16" s="298"/>
      <c r="X16" s="298"/>
      <c r="Y16" s="298"/>
      <c r="Z16" s="298"/>
      <c r="AA16" s="310"/>
      <c r="AB16" s="298"/>
      <c r="AC16" s="298"/>
      <c r="AD16" s="298"/>
      <c r="AE16" s="298"/>
      <c r="AF16" s="298"/>
      <c r="AG16" s="298"/>
      <c r="AH16" s="298"/>
      <c r="AI16" s="298"/>
      <c r="AJ16" s="298"/>
      <c r="AK16" s="298"/>
      <c r="AL16" s="298"/>
      <c r="AM16" s="298"/>
      <c r="AN16" s="535"/>
    </row>
    <row r="17" spans="1:40" s="105" customFormat="1" ht="3.95" customHeight="1" thickTop="1" thickBot="1" x14ac:dyDescent="0.3">
      <c r="A17"/>
      <c r="B17" s="133"/>
      <c r="C17" s="133" t="s">
        <v>361</v>
      </c>
      <c r="D17" s="133"/>
      <c r="E17" s="132"/>
      <c r="F17" s="132"/>
      <c r="G17" s="132"/>
      <c r="H17" s="132"/>
      <c r="I17" s="132"/>
      <c r="J17" s="132"/>
      <c r="K17" s="132"/>
      <c r="L17" s="132"/>
      <c r="M17" s="132"/>
      <c r="N17" s="132"/>
      <c r="O17"/>
      <c r="P17"/>
      <c r="Q17" s="535"/>
      <c r="R17" s="298"/>
      <c r="S17" s="298"/>
      <c r="T17" s="298"/>
      <c r="U17" s="298"/>
      <c r="V17" s="298"/>
      <c r="W17" s="298"/>
      <c r="X17" s="298"/>
      <c r="Y17" s="298"/>
      <c r="Z17" s="298"/>
      <c r="AA17" s="310"/>
      <c r="AB17" s="298"/>
      <c r="AC17" s="298"/>
      <c r="AD17" s="298"/>
      <c r="AE17" s="298"/>
      <c r="AF17" s="298"/>
      <c r="AG17" s="298"/>
      <c r="AH17" s="298"/>
      <c r="AI17" s="298"/>
      <c r="AJ17" s="298"/>
      <c r="AK17" s="298"/>
      <c r="AL17" s="298"/>
      <c r="AM17" s="298"/>
      <c r="AN17" s="535"/>
    </row>
    <row r="18" spans="1:40" s="105" customFormat="1" ht="15.95" customHeight="1" thickTop="1" x14ac:dyDescent="0.25">
      <c r="A18" s="110"/>
      <c r="B18" s="705" t="s">
        <v>360</v>
      </c>
      <c r="C18" s="706"/>
      <c r="D18" s="707"/>
      <c r="E18" s="714" t="str">
        <f>IF($C$3="","",IF($C$3="&lt; Select Agent or Fanatic &gt;","",CONCATENATE("Your ",$C$3,"'s Level")))</f>
        <v/>
      </c>
      <c r="F18" s="715"/>
      <c r="G18" s="715"/>
      <c r="H18" s="715"/>
      <c r="I18" s="715"/>
      <c r="J18" s="715"/>
      <c r="K18" s="715"/>
      <c r="L18" s="715"/>
      <c r="M18" s="715"/>
      <c r="N18" s="716"/>
      <c r="O18" s="110"/>
      <c r="P18" s="110"/>
      <c r="Q18" s="535"/>
      <c r="R18" s="298"/>
      <c r="S18" s="298"/>
      <c r="T18" s="298"/>
      <c r="U18" s="298"/>
      <c r="V18" s="298"/>
      <c r="W18" s="298"/>
      <c r="X18" s="298"/>
      <c r="Y18" s="298"/>
      <c r="Z18" s="298"/>
      <c r="AA18" s="310"/>
      <c r="AB18" s="298"/>
      <c r="AC18" s="298"/>
      <c r="AD18" s="298"/>
      <c r="AE18" s="298"/>
      <c r="AF18" s="298"/>
      <c r="AG18" s="298"/>
      <c r="AH18" s="298"/>
      <c r="AI18" s="298"/>
      <c r="AJ18" s="298"/>
      <c r="AK18" s="298"/>
      <c r="AL18" s="298"/>
      <c r="AM18" s="298"/>
      <c r="AN18" s="535"/>
    </row>
    <row r="19" spans="1:40" s="105" customFormat="1" ht="15.95" customHeight="1" thickBot="1" x14ac:dyDescent="0.3">
      <c r="A19" s="110"/>
      <c r="B19" s="708"/>
      <c r="C19" s="709"/>
      <c r="D19" s="710"/>
      <c r="E19" s="717" t="str">
        <f>IF($C$3="","",IF($C$3="&lt; Select Agent or Fanatic &gt;","","[ Percent % Chance of Success ]  /  [ Percent % Chance of Being Captured ]"))</f>
        <v/>
      </c>
      <c r="F19" s="718"/>
      <c r="G19" s="718"/>
      <c r="H19" s="718"/>
      <c r="I19" s="718"/>
      <c r="J19" s="718"/>
      <c r="K19" s="718"/>
      <c r="L19" s="718"/>
      <c r="M19" s="718"/>
      <c r="N19" s="719"/>
      <c r="O19" s="110"/>
      <c r="P19" s="110"/>
      <c r="Q19" s="535"/>
      <c r="R19" s="298"/>
      <c r="S19" s="298"/>
      <c r="T19" s="298"/>
      <c r="U19" s="298"/>
      <c r="V19" s="298"/>
      <c r="W19" s="298"/>
      <c r="X19" s="298"/>
      <c r="Y19" s="298"/>
      <c r="Z19" s="298"/>
      <c r="AA19" s="310"/>
      <c r="AB19" s="298"/>
      <c r="AC19" s="298"/>
      <c r="AD19" s="298"/>
      <c r="AE19" s="298"/>
      <c r="AF19" s="298"/>
      <c r="AG19" s="298"/>
      <c r="AH19" s="298"/>
      <c r="AI19" s="298"/>
      <c r="AJ19" s="298"/>
      <c r="AK19" s="298"/>
      <c r="AL19" s="298"/>
      <c r="AM19" s="298"/>
      <c r="AN19" s="535"/>
    </row>
    <row r="20" spans="1:40" s="105" customFormat="1" ht="16.5" customHeight="1" thickTop="1" thickBot="1" x14ac:dyDescent="0.3">
      <c r="A20" s="110"/>
      <c r="B20" s="711"/>
      <c r="C20" s="712"/>
      <c r="D20" s="713"/>
      <c r="E20" s="120" t="str">
        <f t="shared" ref="E20:N20" si="10">IF($C$3="","",IF($C$3="&lt; Select Agent or Fanatic &gt;","",CONCATENATE($C$3," ",R$3)))</f>
        <v/>
      </c>
      <c r="F20" s="119" t="str">
        <f t="shared" si="10"/>
        <v/>
      </c>
      <c r="G20" s="119" t="str">
        <f t="shared" si="10"/>
        <v/>
      </c>
      <c r="H20" s="119" t="str">
        <f t="shared" si="10"/>
        <v/>
      </c>
      <c r="I20" s="119" t="str">
        <f t="shared" si="10"/>
        <v/>
      </c>
      <c r="J20" s="119" t="str">
        <f t="shared" si="10"/>
        <v/>
      </c>
      <c r="K20" s="119" t="str">
        <f t="shared" si="10"/>
        <v/>
      </c>
      <c r="L20" s="119" t="str">
        <f t="shared" si="10"/>
        <v/>
      </c>
      <c r="M20" s="119" t="str">
        <f t="shared" si="10"/>
        <v/>
      </c>
      <c r="N20" s="118" t="str">
        <f t="shared" si="10"/>
        <v/>
      </c>
      <c r="O20" s="110"/>
      <c r="P20" s="110"/>
      <c r="Q20" s="534"/>
      <c r="R20" s="301"/>
      <c r="S20" s="301"/>
      <c r="T20" s="301"/>
      <c r="U20" s="301"/>
      <c r="V20" s="301"/>
      <c r="W20" s="301"/>
      <c r="X20" s="301"/>
      <c r="Y20" s="301"/>
      <c r="Z20" s="301"/>
      <c r="AA20" s="537"/>
      <c r="AB20" s="301"/>
      <c r="AC20" s="298"/>
      <c r="AD20" s="298"/>
      <c r="AE20" s="298"/>
      <c r="AF20" s="298"/>
      <c r="AG20" s="298"/>
      <c r="AH20" s="298"/>
      <c r="AI20" s="298"/>
      <c r="AJ20" s="298"/>
      <c r="AK20" s="298"/>
      <c r="AL20" s="298"/>
      <c r="AM20" s="298"/>
      <c r="AN20" s="535"/>
    </row>
    <row r="21" spans="1:40" s="105" customFormat="1" ht="15.75" customHeight="1" thickTop="1" x14ac:dyDescent="0.25">
      <c r="A21"/>
      <c r="B21" s="131"/>
      <c r="C21" s="116" t="s">
        <v>353</v>
      </c>
      <c r="D21" s="130"/>
      <c r="E21" s="114" t="str">
        <f t="shared" ref="E21:N21" si="11">IF($M$2="","",IF($C$2="","",IF($C$2="&lt; Select your Kingdom &gt;","",IF($C21="","",IF($C21="&lt; Assassinate Character &gt;","",IF($C$3="","",IF($C$3="&lt; Select Agent or Fanatic &gt;","",IF($C$3="Fanatic",CONCATENATE(R21+10,"/",AB21+10),CONCATENATE(R21,"/",AB21)))))))))</f>
        <v/>
      </c>
      <c r="F21" s="113" t="str">
        <f t="shared" si="11"/>
        <v/>
      </c>
      <c r="G21" s="113" t="str">
        <f t="shared" si="11"/>
        <v/>
      </c>
      <c r="H21" s="113" t="str">
        <f t="shared" si="11"/>
        <v/>
      </c>
      <c r="I21" s="113" t="str">
        <f t="shared" si="11"/>
        <v/>
      </c>
      <c r="J21" s="113" t="str">
        <f t="shared" si="11"/>
        <v/>
      </c>
      <c r="K21" s="113" t="str">
        <f t="shared" si="11"/>
        <v/>
      </c>
      <c r="L21" s="113" t="str">
        <f t="shared" si="11"/>
        <v/>
      </c>
      <c r="M21" s="113" t="str">
        <f t="shared" si="11"/>
        <v/>
      </c>
      <c r="N21" s="112" t="str">
        <f t="shared" si="11"/>
        <v/>
      </c>
      <c r="O21"/>
      <c r="P21"/>
      <c r="Q21" s="535"/>
      <c r="R21" s="562" t="str">
        <f t="shared" ref="R21:AA21" si="12">IF($C21="","",IF($C21="&lt; Assassinate Character &gt;","",IF((VLOOKUP($C21,$R$44:$T$53,2,FALSE)+((R$3)*5)-$M$2)&gt;97,97,IF((VLOOKUP($C21,$R$44:$T$53,2,FALSE)+((R$3)*5)-$M$2)&lt;3,3,VLOOKUP($C21,$R$44:$T$53,2,FALSE)+((R$3)*5)-$M$2))))</f>
        <v/>
      </c>
      <c r="S21" s="562" t="str">
        <f t="shared" si="12"/>
        <v/>
      </c>
      <c r="T21" s="562" t="str">
        <f t="shared" si="12"/>
        <v/>
      </c>
      <c r="U21" s="562" t="str">
        <f t="shared" si="12"/>
        <v/>
      </c>
      <c r="V21" s="562" t="str">
        <f t="shared" si="12"/>
        <v/>
      </c>
      <c r="W21" s="562" t="str">
        <f t="shared" si="12"/>
        <v/>
      </c>
      <c r="X21" s="562" t="str">
        <f t="shared" si="12"/>
        <v/>
      </c>
      <c r="Y21" s="562" t="str">
        <f t="shared" si="12"/>
        <v/>
      </c>
      <c r="Z21" s="562" t="str">
        <f t="shared" si="12"/>
        <v/>
      </c>
      <c r="AA21" s="562" t="str">
        <f t="shared" si="12"/>
        <v/>
      </c>
      <c r="AB21" s="562" t="str">
        <f>IF($C21="","",IF($C21="&lt; Assassinate Character &gt;","",IF(((VLOOKUP($C21,$R$44:$T$53,3,FALSE)-((AB$3)*5)+$M$2-$W$87)*$W$89)&gt;97,97,IF(((VLOOKUP($C21,$R$44:$T$53,3,FALSE)-((AB$3)*5)+$M$2-$W$87)*$W$89)&lt;3,3,ROUNDUP((VLOOKUP($C21,$R$44:$T$53,3,FALSE)-((AB$3)*5)+$M$2-$W$87)*$W$89,0)))))</f>
        <v/>
      </c>
      <c r="AC21" s="562" t="str">
        <f t="shared" ref="AC21:AK21" si="13">IF($C21="","",IF($C21="&lt; Assassinate Character &gt;","",IF(((VLOOKUP($C21,$R$44:$T$53,3,FALSE)-((AC$3)*5)+$M$2-$W$87)*$W$89)&gt;97,97,IF(((VLOOKUP($C21,$R$44:$T$53,3,FALSE)-((AC$3)*5)+$M$2-$W$87)*$W$89)&lt;3,3,ROUNDUP((VLOOKUP($C21,$R$44:$T$53,3,FALSE)-((AC$3)*5)+$M$2-$W$87)*$W$89,0)))))</f>
        <v/>
      </c>
      <c r="AD21" s="562" t="str">
        <f t="shared" si="13"/>
        <v/>
      </c>
      <c r="AE21" s="562" t="str">
        <f t="shared" si="13"/>
        <v/>
      </c>
      <c r="AF21" s="562" t="str">
        <f t="shared" si="13"/>
        <v/>
      </c>
      <c r="AG21" s="562" t="str">
        <f t="shared" si="13"/>
        <v/>
      </c>
      <c r="AH21" s="562" t="str">
        <f t="shared" si="13"/>
        <v/>
      </c>
      <c r="AI21" s="562" t="str">
        <f t="shared" si="13"/>
        <v/>
      </c>
      <c r="AJ21" s="562" t="str">
        <f t="shared" si="13"/>
        <v/>
      </c>
      <c r="AK21" s="562" t="str">
        <f t="shared" si="13"/>
        <v/>
      </c>
      <c r="AL21" s="538"/>
      <c r="AM21" s="538"/>
      <c r="AN21" s="539"/>
    </row>
    <row r="22" spans="1:40" s="105" customFormat="1" ht="15.75" customHeight="1" x14ac:dyDescent="0.25">
      <c r="A22"/>
      <c r="B22" s="131"/>
      <c r="C22" s="116" t="s">
        <v>352</v>
      </c>
      <c r="D22" s="130"/>
      <c r="E22" s="129" t="str">
        <f t="shared" ref="E22:N22" si="14">IF($M$2="","",IF($C$2="","",IF($C$2="&lt; Select your Kingdom &gt;","",IF($C22="","",IF($C22="&lt; Assassinate Agent &gt;","",IF($C$3="","",IF($C$3="&lt; Select Agent or Fanatic &gt;","",IF($C$3="Fanatic",CONCATENATE(R22+10,"/",AB22+10),CONCATENATE(R22,"/",AB22)))))))))</f>
        <v/>
      </c>
      <c r="F22" s="128" t="str">
        <f t="shared" si="14"/>
        <v/>
      </c>
      <c r="G22" s="128" t="str">
        <f t="shared" si="14"/>
        <v/>
      </c>
      <c r="H22" s="128" t="str">
        <f t="shared" si="14"/>
        <v/>
      </c>
      <c r="I22" s="128" t="str">
        <f t="shared" si="14"/>
        <v/>
      </c>
      <c r="J22" s="128" t="str">
        <f t="shared" si="14"/>
        <v/>
      </c>
      <c r="K22" s="128" t="str">
        <f t="shared" si="14"/>
        <v/>
      </c>
      <c r="L22" s="128" t="str">
        <f t="shared" si="14"/>
        <v/>
      </c>
      <c r="M22" s="128" t="str">
        <f t="shared" si="14"/>
        <v/>
      </c>
      <c r="N22" s="127" t="str">
        <f t="shared" si="14"/>
        <v/>
      </c>
      <c r="O22"/>
      <c r="P22"/>
      <c r="Q22" s="535"/>
      <c r="R22" s="562" t="str">
        <f t="shared" ref="R22:AA22" si="15">IF($C22="","",IF($C22="&lt; Assassinate Agent &gt;","",IF((VLOOKUP($C22,$V$44:$X$62,2,FALSE)+((R$3)*5)-$M$2)&gt;97,97,IF((VLOOKUP($C22,$V$44:$X$62,2,FALSE)+((R$3)*5)-$M$2)&lt;3,3,VLOOKUP($C22,$V$44:$X$62,2,FALSE)+((R$3)*5)-$M$2))))</f>
        <v/>
      </c>
      <c r="S22" s="562" t="str">
        <f t="shared" si="15"/>
        <v/>
      </c>
      <c r="T22" s="562" t="str">
        <f t="shared" si="15"/>
        <v/>
      </c>
      <c r="U22" s="562" t="str">
        <f t="shared" si="15"/>
        <v/>
      </c>
      <c r="V22" s="562" t="str">
        <f t="shared" si="15"/>
        <v/>
      </c>
      <c r="W22" s="562" t="str">
        <f t="shared" si="15"/>
        <v/>
      </c>
      <c r="X22" s="562" t="str">
        <f t="shared" si="15"/>
        <v/>
      </c>
      <c r="Y22" s="562" t="str">
        <f t="shared" si="15"/>
        <v/>
      </c>
      <c r="Z22" s="562" t="str">
        <f t="shared" si="15"/>
        <v/>
      </c>
      <c r="AA22" s="562" t="str">
        <f t="shared" si="15"/>
        <v/>
      </c>
      <c r="AB22" s="562" t="str">
        <f>IF($C22="","",IF($C22="&lt; Assassinate Agent &gt;","",IF(((VLOOKUP($C22,$V$44:$X$62,3,FALSE)-((AB$3)*5)+$M$2-$W$87)*$W$89)&gt;97,97,IF(((VLOOKUP($C22,$V$44:$X$62,3,FALSE)-((AB$3)*5)+$M$2-$W$87)*$W$89)&lt;3,3,ROUNDUP((VLOOKUP($C22,$V$44:$X$62,3,FALSE)-((AB$3)*5)+$M$2-$W$87)*$W$89,0)))))</f>
        <v/>
      </c>
      <c r="AC22" s="562" t="str">
        <f t="shared" ref="AC22:AK22" si="16">IF($C22="","",IF($C22="&lt; Assassinate Agent &gt;","",IF(((VLOOKUP($C22,$V$44:$X$62,3,FALSE)-((AC$3)*5)+$M$2-$W$87)*$W$89)&gt;97,97,IF(((VLOOKUP($C22,$V$44:$X$62,3,FALSE)-((AC$3)*5)+$M$2-$W$87)*$W$89)&lt;3,3,ROUNDUP((VLOOKUP($C22,$V$44:$X$62,3,FALSE)-((AC$3)*5)+$M$2-$W$87)*$W$89,0)))))</f>
        <v/>
      </c>
      <c r="AD22" s="562" t="str">
        <f t="shared" si="16"/>
        <v/>
      </c>
      <c r="AE22" s="562" t="str">
        <f t="shared" si="16"/>
        <v/>
      </c>
      <c r="AF22" s="562" t="str">
        <f t="shared" si="16"/>
        <v/>
      </c>
      <c r="AG22" s="562" t="str">
        <f t="shared" si="16"/>
        <v/>
      </c>
      <c r="AH22" s="562" t="str">
        <f t="shared" si="16"/>
        <v/>
      </c>
      <c r="AI22" s="562" t="str">
        <f t="shared" si="16"/>
        <v/>
      </c>
      <c r="AJ22" s="562" t="str">
        <f t="shared" si="16"/>
        <v/>
      </c>
      <c r="AK22" s="562" t="str">
        <f t="shared" si="16"/>
        <v/>
      </c>
      <c r="AL22" s="538"/>
      <c r="AM22" s="538"/>
      <c r="AN22" s="539"/>
    </row>
    <row r="23" spans="1:40" s="105" customFormat="1" ht="15.75" customHeight="1" x14ac:dyDescent="0.25">
      <c r="A23"/>
      <c r="B23" s="131"/>
      <c r="C23" s="116" t="s">
        <v>351</v>
      </c>
      <c r="D23" s="130"/>
      <c r="E23" s="129" t="str">
        <f t="shared" ref="E23:N23" si="17">IF($M$2="","",IF($C$2="","",IF($C$2="&lt; Select your Kingdom &gt;","",IF($C23="","",IF($C23="&lt; Assassinate Fanatic &gt;","",IF($C$3="","",IF($C$3="&lt; Select Agent or Fanatic &gt;","",IF($C$3="Fanatic",CONCATENATE(R23+10,"/",AB23+10),CONCATENATE(R23,"/",AB23)))))))))</f>
        <v/>
      </c>
      <c r="F23" s="128" t="str">
        <f t="shared" si="17"/>
        <v/>
      </c>
      <c r="G23" s="128" t="str">
        <f t="shared" si="17"/>
        <v/>
      </c>
      <c r="H23" s="128" t="str">
        <f t="shared" si="17"/>
        <v/>
      </c>
      <c r="I23" s="128" t="str">
        <f t="shared" si="17"/>
        <v/>
      </c>
      <c r="J23" s="128" t="str">
        <f t="shared" si="17"/>
        <v/>
      </c>
      <c r="K23" s="128" t="str">
        <f t="shared" si="17"/>
        <v/>
      </c>
      <c r="L23" s="128" t="str">
        <f t="shared" si="17"/>
        <v/>
      </c>
      <c r="M23" s="128" t="str">
        <f t="shared" si="17"/>
        <v/>
      </c>
      <c r="N23" s="127" t="str">
        <f t="shared" si="17"/>
        <v/>
      </c>
      <c r="O23"/>
      <c r="P23"/>
      <c r="Q23" s="535"/>
      <c r="R23" s="562" t="str">
        <f t="shared" ref="R23:AA23" si="18">IF($C23="","",IF($C23="&lt; Assassinate Fanatic &gt;","",IF((VLOOKUP($C23,$Z$44:$AB$62,2,FALSE)+((R$3)*5)-$M$2)&gt;97,97,IF((VLOOKUP($C23,$Z$44:$AB$62,2,FALSE)+((R$3)*5)-$M$2)&lt;3,3,VLOOKUP($C23,$Z$44:$AB$62,2,FALSE)+((R$3)*5)-$M$2))))</f>
        <v/>
      </c>
      <c r="S23" s="562" t="str">
        <f t="shared" si="18"/>
        <v/>
      </c>
      <c r="T23" s="562" t="str">
        <f t="shared" si="18"/>
        <v/>
      </c>
      <c r="U23" s="562" t="str">
        <f t="shared" si="18"/>
        <v/>
      </c>
      <c r="V23" s="562" t="str">
        <f t="shared" si="18"/>
        <v/>
      </c>
      <c r="W23" s="562" t="str">
        <f t="shared" si="18"/>
        <v/>
      </c>
      <c r="X23" s="562" t="str">
        <f t="shared" si="18"/>
        <v/>
      </c>
      <c r="Y23" s="562" t="str">
        <f t="shared" si="18"/>
        <v/>
      </c>
      <c r="Z23" s="562" t="str">
        <f t="shared" si="18"/>
        <v/>
      </c>
      <c r="AA23" s="562" t="str">
        <f t="shared" si="18"/>
        <v/>
      </c>
      <c r="AB23" s="562" t="str">
        <f>IF($C23="","",IF($C23="&lt; Assassinate Fanatic &gt;","",IF(((VLOOKUP($C23,$Z$44:$AB$62,3,FALSE)-((AB$3)*5)+$M$2-$W$87)*$W$89)&gt;97,97,IF(((VLOOKUP($C23,$Z$44:$AB$62,3,FALSE)-((AB$3)*5)+$M$2-$W$87)*$W$89)&lt;3,3,ROUNDUP((VLOOKUP($C23,$Z$44:$AB$62,3,FALSE)-((AB$3)*5)+$M$2-$W$87)*$W$89,0)))))</f>
        <v/>
      </c>
      <c r="AC23" s="562" t="str">
        <f t="shared" ref="AC23:AK23" si="19">IF($C23="","",IF($C23="&lt; Assassinate Fanatic &gt;","",IF(((VLOOKUP($C23,$Z$44:$AB$62,3,FALSE)-((AC$3)*5)+$M$2-$W$87)*$W$89)&gt;97,97,IF(((VLOOKUP($C23,$Z$44:$AB$62,3,FALSE)-((AC$3)*5)+$M$2-$W$87)*$W$89)&lt;3,3,ROUNDUP((VLOOKUP($C23,$Z$44:$AB$62,3,FALSE)-((AC$3)*5)+$M$2-$W$87)*$W$89,0)))))</f>
        <v/>
      </c>
      <c r="AD23" s="562" t="str">
        <f t="shared" si="19"/>
        <v/>
      </c>
      <c r="AE23" s="562" t="str">
        <f t="shared" si="19"/>
        <v/>
      </c>
      <c r="AF23" s="562" t="str">
        <f t="shared" si="19"/>
        <v/>
      </c>
      <c r="AG23" s="562" t="str">
        <f t="shared" si="19"/>
        <v/>
      </c>
      <c r="AH23" s="562" t="str">
        <f t="shared" si="19"/>
        <v/>
      </c>
      <c r="AI23" s="562" t="str">
        <f t="shared" si="19"/>
        <v/>
      </c>
      <c r="AJ23" s="562" t="str">
        <f t="shared" si="19"/>
        <v/>
      </c>
      <c r="AK23" s="562" t="str">
        <f t="shared" si="19"/>
        <v/>
      </c>
      <c r="AL23" s="538"/>
      <c r="AM23" s="538"/>
      <c r="AN23" s="539"/>
    </row>
    <row r="24" spans="1:40" s="105" customFormat="1" ht="15.75" customHeight="1" x14ac:dyDescent="0.25">
      <c r="A24"/>
      <c r="B24" s="126"/>
      <c r="C24" s="116" t="s">
        <v>350</v>
      </c>
      <c r="D24" s="124"/>
      <c r="E24" s="129" t="str">
        <f t="shared" ref="E24:N24" si="20">IF($M$2="","",IF($C$2="","",IF($C$2="&lt; Select your Kingdom &gt;","",IF($C24="","",IF($C24="&lt; Assassinate Wizard &gt;","",IF($C$3="","",IF($C$3="&lt; Select Agent or Fanatic &gt;","",IF($C$3="Fanatic",CONCATENATE(R24+10,"/",AB24+10),CONCATENATE(R24,"/",AB24)))))))))</f>
        <v/>
      </c>
      <c r="F24" s="128" t="str">
        <f t="shared" si="20"/>
        <v/>
      </c>
      <c r="G24" s="128" t="str">
        <f t="shared" si="20"/>
        <v/>
      </c>
      <c r="H24" s="128" t="str">
        <f t="shared" si="20"/>
        <v/>
      </c>
      <c r="I24" s="128" t="str">
        <f t="shared" si="20"/>
        <v/>
      </c>
      <c r="J24" s="128" t="str">
        <f t="shared" si="20"/>
        <v/>
      </c>
      <c r="K24" s="128" t="str">
        <f t="shared" si="20"/>
        <v/>
      </c>
      <c r="L24" s="128" t="str">
        <f t="shared" si="20"/>
        <v/>
      </c>
      <c r="M24" s="128" t="str">
        <f t="shared" si="20"/>
        <v/>
      </c>
      <c r="N24" s="127" t="str">
        <f t="shared" si="20"/>
        <v/>
      </c>
      <c r="O24"/>
      <c r="P24"/>
      <c r="Q24" s="535"/>
      <c r="R24" s="562" t="str">
        <f t="shared" ref="R24:AA24" si="21">IF($C24="","",IF($C24="&lt; Assassinate Wizard &gt;","",IF((VLOOKUP($C24,$AD$44:$AF$56,2,FALSE)+((R$3)*5)-$M$2)&gt;97,97,IF((VLOOKUP($C24,$AD$44:$AF$56,2,FALSE)+((R$3)*5)-$M$2)&lt;3,3,VLOOKUP($C24,$AD$44:$AF$56,2,FALSE)+((R$3)*5)-$M$2))))</f>
        <v/>
      </c>
      <c r="S24" s="562" t="str">
        <f t="shared" si="21"/>
        <v/>
      </c>
      <c r="T24" s="562" t="str">
        <f t="shared" si="21"/>
        <v/>
      </c>
      <c r="U24" s="562" t="str">
        <f t="shared" si="21"/>
        <v/>
      </c>
      <c r="V24" s="562" t="str">
        <f t="shared" si="21"/>
        <v/>
      </c>
      <c r="W24" s="562" t="str">
        <f t="shared" si="21"/>
        <v/>
      </c>
      <c r="X24" s="562" t="str">
        <f t="shared" si="21"/>
        <v/>
      </c>
      <c r="Y24" s="562" t="str">
        <f t="shared" si="21"/>
        <v/>
      </c>
      <c r="Z24" s="562" t="str">
        <f t="shared" si="21"/>
        <v/>
      </c>
      <c r="AA24" s="562" t="str">
        <f t="shared" si="21"/>
        <v/>
      </c>
      <c r="AB24" s="562" t="str">
        <f>IF($C24="","",IF($C24="&lt; Assassinate Wizard &gt;","",IF(((VLOOKUP($C24,$AD$44:$AF$56,3,FALSE)-((AB$3)*5)+$M$2-$W$87)*$W$89)&gt;97,97,IF(((VLOOKUP($C24,$AD$44:$AF$56,3,FALSE)-((AB$3)*5)+$M$2-$W$87)*$W$89)&lt;3,3,ROUNDUP((VLOOKUP($C24,$AD$44:$AF$56,3,FALSE)-((AB$3)*5)+$M$2-$W$87)*$W$89,0)))))</f>
        <v/>
      </c>
      <c r="AC24" s="562" t="str">
        <f t="shared" ref="AC24:AK24" si="22">IF($C24="","",IF($C24="&lt; Assassinate Wizard &gt;","",IF(((VLOOKUP($C24,$AD$44:$AF$56,3,FALSE)-((AC$3)*5)+$M$2-$W$87)*$W$89)&gt;97,97,IF(((VLOOKUP($C24,$AD$44:$AF$56,3,FALSE)-((AC$3)*5)+$M$2-$W$87)*$W$89)&lt;3,3,ROUNDUP((VLOOKUP($C24,$AD$44:$AF$56,3,FALSE)-((AC$3)*5)+$M$2-$W$87)*$W$89,0)))))</f>
        <v/>
      </c>
      <c r="AD24" s="562" t="str">
        <f t="shared" si="22"/>
        <v/>
      </c>
      <c r="AE24" s="562" t="str">
        <f t="shared" si="22"/>
        <v/>
      </c>
      <c r="AF24" s="562" t="str">
        <f t="shared" si="22"/>
        <v/>
      </c>
      <c r="AG24" s="562" t="str">
        <f t="shared" si="22"/>
        <v/>
      </c>
      <c r="AH24" s="562" t="str">
        <f t="shared" si="22"/>
        <v/>
      </c>
      <c r="AI24" s="562" t="str">
        <f t="shared" si="22"/>
        <v/>
      </c>
      <c r="AJ24" s="562" t="str">
        <f t="shared" si="22"/>
        <v/>
      </c>
      <c r="AK24" s="562" t="str">
        <f t="shared" si="22"/>
        <v/>
      </c>
      <c r="AL24" s="538"/>
      <c r="AM24" s="538"/>
      <c r="AN24" s="539"/>
    </row>
    <row r="25" spans="1:40" s="105" customFormat="1" ht="15.75" customHeight="1" x14ac:dyDescent="0.25">
      <c r="A25"/>
      <c r="B25" s="126"/>
      <c r="C25" s="125" t="s">
        <v>349</v>
      </c>
      <c r="D25" s="124"/>
      <c r="E25" s="123" t="str">
        <f t="shared" ref="E25:N25" si="23">IF($M$2="","",IF($C$2="","",IF($C$2="&lt; Select your Kingdom &gt;","",IF($C25="","",IF($C25="&lt; Assassinate Leader &gt;","",IF($C$3="","",IF($C$3="&lt; Select Agent or Fanatic &gt;","",IF($C$3="Fanatic",CONCATENATE(R25+10,"/",AB25+10),CONCATENATE(R25,"/",AB25)))))))))</f>
        <v/>
      </c>
      <c r="F25" s="122" t="str">
        <f t="shared" si="23"/>
        <v/>
      </c>
      <c r="G25" s="122" t="str">
        <f t="shared" si="23"/>
        <v/>
      </c>
      <c r="H25" s="122" t="str">
        <f t="shared" si="23"/>
        <v/>
      </c>
      <c r="I25" s="122" t="str">
        <f t="shared" si="23"/>
        <v/>
      </c>
      <c r="J25" s="122" t="str">
        <f t="shared" si="23"/>
        <v/>
      </c>
      <c r="K25" s="122" t="str">
        <f t="shared" si="23"/>
        <v/>
      </c>
      <c r="L25" s="122" t="str">
        <f t="shared" si="23"/>
        <v/>
      </c>
      <c r="M25" s="122" t="str">
        <f t="shared" si="23"/>
        <v/>
      </c>
      <c r="N25" s="121" t="str">
        <f t="shared" si="23"/>
        <v/>
      </c>
      <c r="O25"/>
      <c r="P25"/>
      <c r="Q25" s="535"/>
      <c r="R25" s="562" t="str">
        <f t="shared" ref="R25:AA25" si="24">IF($C25="","",IF($C25="&lt; Assassinate Leader &gt;","",IF((VLOOKUP($C25,$AH$44:$AJ$53,2,FALSE)+((R$3)*5)-$M$2)&gt;97,97,IF((VLOOKUP($C25,$AH$44:$AJ$53,2,FALSE)+((R$3)*5)-$M$2)&lt;3,3,VLOOKUP($C25,$AH$44:$AJ$53,2,FALSE)+((R$3)*5)-$M$2))))</f>
        <v/>
      </c>
      <c r="S25" s="562" t="str">
        <f t="shared" si="24"/>
        <v/>
      </c>
      <c r="T25" s="562" t="str">
        <f t="shared" si="24"/>
        <v/>
      </c>
      <c r="U25" s="562" t="str">
        <f t="shared" si="24"/>
        <v/>
      </c>
      <c r="V25" s="562" t="str">
        <f t="shared" si="24"/>
        <v/>
      </c>
      <c r="W25" s="562" t="str">
        <f t="shared" si="24"/>
        <v/>
      </c>
      <c r="X25" s="562" t="str">
        <f t="shared" si="24"/>
        <v/>
      </c>
      <c r="Y25" s="562" t="str">
        <f t="shared" si="24"/>
        <v/>
      </c>
      <c r="Z25" s="562" t="str">
        <f t="shared" si="24"/>
        <v/>
      </c>
      <c r="AA25" s="562" t="str">
        <f t="shared" si="24"/>
        <v/>
      </c>
      <c r="AB25" s="562" t="str">
        <f>IF($C25="","",IF($C25="&lt; Assassinate Leader &gt;","",IF(((55+(100-VLOOKUP($C25,$AH$44:$AJ$53,3,FALSE))-((AB$3)*5)+$M$2-$W$87)*$W$89)&gt;97,97,IF(((55+(100-VLOOKUP($C25,$AH$44:$AJ$53,3,FALSE))-((AB$3)*5)+$M$2-$W$87)*$W$89)&lt;3,3,ROUNDUP((55+(100-VLOOKUP($C25,$AH$44:$AJ$53,3,FALSE))-((AB$3)*5)+$M$2-$W$87)*$W$89,0)))))</f>
        <v/>
      </c>
      <c r="AC25" s="562" t="str">
        <f t="shared" ref="AC25:AK25" si="25">IF($C25="","",IF($C25="&lt; Assassinate Leader &gt;","",IF(((55+(100-VLOOKUP($C25,$AH$44:$AJ$53,3,FALSE))-((AC$3)*5)+$M$2-$W$87)*$W$89)&gt;97,97,IF(((55+(100-VLOOKUP($C25,$AH$44:$AJ$53,3,FALSE))-((AC$3)*5)+$M$2-$W$87)*$W$89)&lt;3,3,ROUNDUP((55+(100-VLOOKUP($C25,$AH$44:$AJ$53,3,FALSE))-((AC$3)*5)+$M$2-$W$87)*$W$89,0)))))</f>
        <v/>
      </c>
      <c r="AD25" s="562" t="str">
        <f t="shared" si="25"/>
        <v/>
      </c>
      <c r="AE25" s="562" t="str">
        <f t="shared" si="25"/>
        <v/>
      </c>
      <c r="AF25" s="562" t="str">
        <f t="shared" si="25"/>
        <v/>
      </c>
      <c r="AG25" s="562" t="str">
        <f t="shared" si="25"/>
        <v/>
      </c>
      <c r="AH25" s="562" t="str">
        <f t="shared" si="25"/>
        <v/>
      </c>
      <c r="AI25" s="562" t="str">
        <f t="shared" si="25"/>
        <v/>
      </c>
      <c r="AJ25" s="562" t="str">
        <f t="shared" si="25"/>
        <v/>
      </c>
      <c r="AK25" s="562" t="str">
        <f t="shared" si="25"/>
        <v/>
      </c>
      <c r="AL25" s="538"/>
      <c r="AM25" s="538"/>
      <c r="AN25" s="539"/>
    </row>
    <row r="26" spans="1:40" s="105" customFormat="1" ht="12.95" customHeight="1" x14ac:dyDescent="0.25">
      <c r="A26" s="110"/>
      <c r="B26" s="699" t="s">
        <v>359</v>
      </c>
      <c r="C26" s="700"/>
      <c r="D26" s="700"/>
      <c r="E26" s="700"/>
      <c r="F26" s="700"/>
      <c r="G26" s="700"/>
      <c r="H26" s="700"/>
      <c r="I26" s="700"/>
      <c r="J26" s="700"/>
      <c r="K26" s="700"/>
      <c r="L26" s="700"/>
      <c r="M26" s="700"/>
      <c r="N26" s="701"/>
      <c r="O26" s="110"/>
      <c r="P26" s="110"/>
      <c r="Q26" s="535"/>
      <c r="R26" s="298"/>
      <c r="S26" s="298"/>
      <c r="T26" s="298"/>
      <c r="U26" s="298"/>
      <c r="V26" s="298"/>
      <c r="W26" s="298"/>
      <c r="X26" s="298"/>
      <c r="Y26" s="298"/>
      <c r="Z26" s="298"/>
      <c r="AA26" s="310"/>
      <c r="AB26" s="298"/>
      <c r="AC26" s="298"/>
      <c r="AD26" s="298"/>
      <c r="AE26" s="298"/>
      <c r="AF26" s="298"/>
      <c r="AG26" s="298"/>
      <c r="AH26" s="298"/>
      <c r="AI26" s="298"/>
      <c r="AJ26" s="298"/>
      <c r="AK26" s="298"/>
      <c r="AL26" s="298"/>
      <c r="AM26" s="298"/>
      <c r="AN26" s="535"/>
    </row>
    <row r="27" spans="1:40" s="105" customFormat="1" ht="12.95" customHeight="1" thickBot="1" x14ac:dyDescent="0.3">
      <c r="A27" s="110"/>
      <c r="B27" s="702"/>
      <c r="C27" s="703"/>
      <c r="D27" s="703"/>
      <c r="E27" s="703"/>
      <c r="F27" s="703"/>
      <c r="G27" s="703"/>
      <c r="H27" s="703"/>
      <c r="I27" s="703"/>
      <c r="J27" s="703"/>
      <c r="K27" s="703"/>
      <c r="L27" s="703"/>
      <c r="M27" s="703"/>
      <c r="N27" s="704"/>
      <c r="O27" s="110"/>
      <c r="P27" s="110"/>
      <c r="Q27" s="535"/>
      <c r="R27" s="298"/>
      <c r="S27" s="298"/>
      <c r="T27" s="298"/>
      <c r="U27" s="298"/>
      <c r="V27" s="298"/>
      <c r="W27" s="298"/>
      <c r="X27" s="298"/>
      <c r="Y27" s="298"/>
      <c r="Z27" s="298"/>
      <c r="AA27" s="310"/>
      <c r="AB27" s="298"/>
      <c r="AC27" s="298"/>
      <c r="AD27" s="298"/>
      <c r="AE27" s="298"/>
      <c r="AF27" s="298"/>
      <c r="AG27" s="298"/>
      <c r="AH27" s="298"/>
      <c r="AI27" s="298"/>
      <c r="AJ27" s="298"/>
      <c r="AK27" s="298"/>
      <c r="AL27" s="298"/>
      <c r="AM27" s="298"/>
      <c r="AN27" s="535"/>
    </row>
    <row r="28" spans="1:40" s="105" customFormat="1" ht="3.95" customHeight="1" thickTop="1" thickBot="1" x14ac:dyDescent="0.3">
      <c r="A28"/>
      <c r="B28" s="106"/>
      <c r="C28" s="106"/>
      <c r="D28" s="106"/>
      <c r="E28" s="106"/>
      <c r="F28" s="106"/>
      <c r="G28" s="106"/>
      <c r="H28" s="106"/>
      <c r="I28" s="106"/>
      <c r="J28" s="106"/>
      <c r="K28" s="106"/>
      <c r="L28" s="106"/>
      <c r="M28" s="106"/>
      <c r="N28" s="106"/>
      <c r="O28"/>
      <c r="P28"/>
      <c r="Q28" s="535"/>
      <c r="R28" s="298"/>
      <c r="S28" s="298"/>
      <c r="T28" s="298"/>
      <c r="U28" s="298"/>
      <c r="V28" s="298"/>
      <c r="W28" s="298"/>
      <c r="X28" s="298"/>
      <c r="Y28" s="298"/>
      <c r="Z28" s="298"/>
      <c r="AA28" s="310"/>
      <c r="AB28" s="298"/>
      <c r="AC28" s="301"/>
      <c r="AD28" s="301"/>
      <c r="AE28" s="301"/>
      <c r="AF28" s="301"/>
      <c r="AG28" s="301"/>
      <c r="AH28" s="301"/>
      <c r="AI28" s="301"/>
      <c r="AJ28" s="301"/>
      <c r="AK28" s="301"/>
      <c r="AL28" s="301"/>
      <c r="AM28" s="301"/>
      <c r="AN28" s="539"/>
    </row>
    <row r="29" spans="1:40" s="105" customFormat="1" ht="15.95" customHeight="1" thickTop="1" x14ac:dyDescent="0.25">
      <c r="A29" s="110"/>
      <c r="B29" s="705" t="s">
        <v>358</v>
      </c>
      <c r="C29" s="706"/>
      <c r="D29" s="707"/>
      <c r="E29" s="714" t="str">
        <f>IF($C$3="","",IF($C$3="&lt; Select Agent or Fanatic &gt;","",CONCATENATE("Your ",$C$3,"'s Level")))</f>
        <v/>
      </c>
      <c r="F29" s="715"/>
      <c r="G29" s="715"/>
      <c r="H29" s="715"/>
      <c r="I29" s="715"/>
      <c r="J29" s="715"/>
      <c r="K29" s="715"/>
      <c r="L29" s="715"/>
      <c r="M29" s="715"/>
      <c r="N29" s="716"/>
      <c r="O29" s="110"/>
      <c r="P29" s="110"/>
      <c r="Q29" s="535"/>
      <c r="R29" s="298"/>
      <c r="S29" s="298"/>
      <c r="T29" s="298"/>
      <c r="U29" s="298"/>
      <c r="V29" s="298"/>
      <c r="W29" s="298"/>
      <c r="X29" s="298"/>
      <c r="Y29" s="298"/>
      <c r="Z29" s="298"/>
      <c r="AA29" s="310"/>
      <c r="AB29" s="298"/>
      <c r="AC29" s="298"/>
      <c r="AD29" s="298"/>
      <c r="AE29" s="298"/>
      <c r="AF29" s="298"/>
      <c r="AG29" s="298"/>
      <c r="AH29" s="298"/>
      <c r="AI29" s="298"/>
      <c r="AJ29" s="298"/>
      <c r="AK29" s="298"/>
      <c r="AL29" s="298"/>
      <c r="AM29" s="298"/>
      <c r="AN29" s="535"/>
    </row>
    <row r="30" spans="1:40" s="105" customFormat="1" ht="15.95" customHeight="1" thickBot="1" x14ac:dyDescent="0.3">
      <c r="A30" s="110"/>
      <c r="B30" s="708"/>
      <c r="C30" s="709"/>
      <c r="D30" s="710"/>
      <c r="E30" s="717" t="str">
        <f>IF($C$3="","",IF($C$3="&lt; Select Agent or Fanatic &gt;","","[ Percent % Chance of Success ]  /  [ Percent % Chance of Being Captured ]"))</f>
        <v/>
      </c>
      <c r="F30" s="718"/>
      <c r="G30" s="718"/>
      <c r="H30" s="718"/>
      <c r="I30" s="718"/>
      <c r="J30" s="718"/>
      <c r="K30" s="718"/>
      <c r="L30" s="718"/>
      <c r="M30" s="718"/>
      <c r="N30" s="719"/>
      <c r="O30" s="110"/>
      <c r="P30" s="110"/>
      <c r="Q30" s="535"/>
      <c r="R30" s="298"/>
      <c r="S30" s="298"/>
      <c r="T30" s="298"/>
      <c r="U30" s="298"/>
      <c r="V30" s="298"/>
      <c r="W30" s="298"/>
      <c r="X30" s="298"/>
      <c r="Y30" s="298"/>
      <c r="Z30" s="298"/>
      <c r="AA30" s="310"/>
      <c r="AB30" s="298"/>
      <c r="AC30" s="298"/>
      <c r="AD30" s="298"/>
      <c r="AE30" s="298"/>
      <c r="AF30" s="298"/>
      <c r="AG30" s="298"/>
      <c r="AH30" s="298"/>
      <c r="AI30" s="298"/>
      <c r="AJ30" s="298"/>
      <c r="AK30" s="298"/>
      <c r="AL30" s="298"/>
      <c r="AM30" s="298"/>
      <c r="AN30" s="535"/>
    </row>
    <row r="31" spans="1:40" s="105" customFormat="1" ht="16.5" customHeight="1" thickTop="1" thickBot="1" x14ac:dyDescent="0.3">
      <c r="A31" s="110"/>
      <c r="B31" s="711"/>
      <c r="C31" s="712"/>
      <c r="D31" s="713"/>
      <c r="E31" s="120" t="str">
        <f t="shared" ref="E31:N31" si="26">IF($C$3="","",IF($C$3="&lt; Select Agent or Fanatic &gt;","",CONCATENATE($C$3," ",R$3)))</f>
        <v/>
      </c>
      <c r="F31" s="119" t="str">
        <f t="shared" si="26"/>
        <v/>
      </c>
      <c r="G31" s="119" t="str">
        <f t="shared" si="26"/>
        <v/>
      </c>
      <c r="H31" s="119" t="str">
        <f t="shared" si="26"/>
        <v/>
      </c>
      <c r="I31" s="119" t="str">
        <f t="shared" si="26"/>
        <v/>
      </c>
      <c r="J31" s="119" t="str">
        <f t="shared" si="26"/>
        <v/>
      </c>
      <c r="K31" s="119" t="str">
        <f t="shared" si="26"/>
        <v/>
      </c>
      <c r="L31" s="119" t="str">
        <f t="shared" si="26"/>
        <v/>
      </c>
      <c r="M31" s="119" t="str">
        <f t="shared" si="26"/>
        <v/>
      </c>
      <c r="N31" s="118" t="str">
        <f t="shared" si="26"/>
        <v/>
      </c>
      <c r="O31" s="110"/>
      <c r="P31" s="110"/>
      <c r="Q31" s="534"/>
      <c r="R31" s="301"/>
      <c r="S31" s="301"/>
      <c r="T31" s="301"/>
      <c r="U31" s="301"/>
      <c r="V31" s="301"/>
      <c r="W31" s="301"/>
      <c r="X31" s="301"/>
      <c r="Y31" s="301"/>
      <c r="Z31" s="301"/>
      <c r="AA31" s="537"/>
      <c r="AB31" s="301"/>
      <c r="AC31" s="298"/>
      <c r="AD31" s="298"/>
      <c r="AE31" s="298"/>
      <c r="AF31" s="298"/>
      <c r="AG31" s="298"/>
      <c r="AH31" s="298"/>
      <c r="AI31" s="298"/>
      <c r="AJ31" s="298"/>
      <c r="AK31" s="298"/>
      <c r="AL31" s="298"/>
      <c r="AM31" s="298"/>
      <c r="AN31" s="535"/>
    </row>
    <row r="32" spans="1:40" s="105" customFormat="1" ht="15.75" customHeight="1" thickTop="1" x14ac:dyDescent="0.25">
      <c r="A32"/>
      <c r="B32" s="117"/>
      <c r="C32" s="116" t="s">
        <v>273</v>
      </c>
      <c r="D32" s="115"/>
      <c r="E32" s="114" t="str">
        <f t="shared" ref="E32:N32" si="27">IF($M$2="","",IF($C$2="","",IF($C$2="&lt; Select your Kingdom &gt;","",IF($C32="","",IF($C32="&lt; Select Action &gt;","",IF($C$3="","",IF($C$3="&lt; Select Agent or Fanatic &gt;","",IF($C32="Steal Art (Wild-Superior)","Forbidden",IF($C$3="Fanatic",CONCATENATE(R32+10,"/",AB32+10),CONCATENATE(R32,"/",AB32))))))))))</f>
        <v/>
      </c>
      <c r="F32" s="113" t="str">
        <f t="shared" si="27"/>
        <v/>
      </c>
      <c r="G32" s="113" t="str">
        <f t="shared" si="27"/>
        <v/>
      </c>
      <c r="H32" s="113" t="str">
        <f t="shared" si="27"/>
        <v/>
      </c>
      <c r="I32" s="113" t="str">
        <f t="shared" si="27"/>
        <v/>
      </c>
      <c r="J32" s="113" t="str">
        <f t="shared" si="27"/>
        <v/>
      </c>
      <c r="K32" s="113" t="str">
        <f t="shared" si="27"/>
        <v/>
      </c>
      <c r="L32" s="113" t="str">
        <f t="shared" si="27"/>
        <v/>
      </c>
      <c r="M32" s="113" t="str">
        <f t="shared" si="27"/>
        <v/>
      </c>
      <c r="N32" s="112" t="str">
        <f t="shared" si="27"/>
        <v/>
      </c>
      <c r="O32"/>
      <c r="P32"/>
      <c r="Q32" s="535"/>
      <c r="R32" s="562" t="str">
        <f t="shared" ref="R32:AA32" si="28">IF($C32="","",IF($C32="&lt; Select Action &gt;","",IF((VLOOKUP($C32,$R$88:$T$104,2,FALSE)+((R$3)*5)-$M$2+$W$88+$W$90)&gt;97,97,IF((VLOOKUP($C32,$R$88:$T$104,2,FALSE)+((R$3)*5)-$M$2+$W$88+$W$90)&lt;3,3,VLOOKUP($C32,$R$88:$T$104,2,FALSE)+((R$3)*5)-$M$2+$W$88+$W$90))))</f>
        <v/>
      </c>
      <c r="S32" s="562" t="str">
        <f t="shared" si="28"/>
        <v/>
      </c>
      <c r="T32" s="562" t="str">
        <f t="shared" si="28"/>
        <v/>
      </c>
      <c r="U32" s="562" t="str">
        <f t="shared" si="28"/>
        <v/>
      </c>
      <c r="V32" s="562" t="str">
        <f t="shared" si="28"/>
        <v/>
      </c>
      <c r="W32" s="562" t="str">
        <f t="shared" si="28"/>
        <v/>
      </c>
      <c r="X32" s="562" t="str">
        <f t="shared" si="28"/>
        <v/>
      </c>
      <c r="Y32" s="562" t="str">
        <f t="shared" si="28"/>
        <v/>
      </c>
      <c r="Z32" s="562" t="str">
        <f t="shared" si="28"/>
        <v/>
      </c>
      <c r="AA32" s="562" t="str">
        <f t="shared" si="28"/>
        <v/>
      </c>
      <c r="AB32" s="562" t="str">
        <f>IF($C32="","",IF($C32="&lt; Select Action &gt;","",IF(((VLOOKUP($C32,$R$88:$T$104,3,FALSE)-((AB$3)*5)+$M$2-$W$87-$W$90)*$W$89)&gt;97,97,IF(((VLOOKUP($C32,$R$88:$T$104,3,FALSE)-((AB$3)*5)+$M$2-$W$87-$W$90)*$W$89)&lt;3,3,ROUNDUP((VLOOKUP($C32,$R$88:$T$104,3,FALSE)-((AB$3)*5)+$M$2-$W$87-$W$90)*$W$89,0)))))</f>
        <v/>
      </c>
      <c r="AC32" s="562" t="str">
        <f t="shared" ref="AC32:AK32" si="29">IF($C32="","",IF($C32="&lt; Select Action &gt;","",IF(((VLOOKUP($C32,$R$88:$T$104,3,FALSE)-((AC$3)*5)+$M$2-$W$87-$W$90)*$W$89)&gt;97,97,IF(((VLOOKUP($C32,$R$88:$T$104,3,FALSE)-((AC$3)*5)+$M$2-$W$87-$W$90)*$W$89)&lt;3,3,ROUNDUP((VLOOKUP($C32,$R$88:$T$104,3,FALSE)-((AC$3)*5)+$M$2-$W$87-$W$90)*$W$89,0)))))</f>
        <v/>
      </c>
      <c r="AD32" s="562" t="str">
        <f t="shared" si="29"/>
        <v/>
      </c>
      <c r="AE32" s="562" t="str">
        <f t="shared" si="29"/>
        <v/>
      </c>
      <c r="AF32" s="562" t="str">
        <f t="shared" si="29"/>
        <v/>
      </c>
      <c r="AG32" s="562" t="str">
        <f t="shared" si="29"/>
        <v/>
      </c>
      <c r="AH32" s="562" t="str">
        <f t="shared" si="29"/>
        <v/>
      </c>
      <c r="AI32" s="562" t="str">
        <f t="shared" si="29"/>
        <v/>
      </c>
      <c r="AJ32" s="562" t="str">
        <f t="shared" si="29"/>
        <v/>
      </c>
      <c r="AK32" s="562" t="str">
        <f t="shared" si="29"/>
        <v/>
      </c>
      <c r="AL32" s="538"/>
      <c r="AM32" s="538"/>
      <c r="AN32" s="539"/>
    </row>
    <row r="33" spans="1:40" s="105" customFormat="1" ht="12.95" customHeight="1" x14ac:dyDescent="0.25">
      <c r="A33" s="110"/>
      <c r="B33" s="699" t="s">
        <v>357</v>
      </c>
      <c r="C33" s="700"/>
      <c r="D33" s="700"/>
      <c r="E33" s="700"/>
      <c r="F33" s="700"/>
      <c r="G33" s="700"/>
      <c r="H33" s="700"/>
      <c r="I33" s="700"/>
      <c r="J33" s="700"/>
      <c r="K33" s="700"/>
      <c r="L33" s="700"/>
      <c r="M33" s="700"/>
      <c r="N33" s="701"/>
      <c r="O33" s="110"/>
      <c r="P33" s="110"/>
      <c r="Q33" s="535"/>
      <c r="R33" s="298"/>
      <c r="S33" s="298"/>
      <c r="T33" s="298"/>
      <c r="U33" s="298"/>
      <c r="V33" s="298"/>
      <c r="W33" s="298"/>
      <c r="X33" s="298"/>
      <c r="Y33" s="298"/>
      <c r="Z33" s="298"/>
      <c r="AA33" s="310"/>
      <c r="AB33" s="298"/>
      <c r="AC33" s="298"/>
      <c r="AD33" s="298"/>
      <c r="AE33" s="298"/>
      <c r="AF33" s="298"/>
      <c r="AG33" s="298"/>
      <c r="AH33" s="298"/>
      <c r="AI33" s="298"/>
      <c r="AJ33" s="298"/>
      <c r="AK33" s="298"/>
      <c r="AL33" s="298"/>
      <c r="AM33" s="298"/>
      <c r="AN33" s="535"/>
    </row>
    <row r="34" spans="1:40" s="105" customFormat="1" ht="12.95" customHeight="1" thickBot="1" x14ac:dyDescent="0.3">
      <c r="A34" s="110"/>
      <c r="B34" s="702"/>
      <c r="C34" s="703"/>
      <c r="D34" s="703"/>
      <c r="E34" s="703"/>
      <c r="F34" s="703"/>
      <c r="G34" s="703"/>
      <c r="H34" s="703"/>
      <c r="I34" s="703"/>
      <c r="J34" s="703"/>
      <c r="K34" s="703"/>
      <c r="L34" s="703"/>
      <c r="M34" s="703"/>
      <c r="N34" s="704"/>
      <c r="O34" s="110"/>
      <c r="P34" s="110"/>
      <c r="Q34" s="535"/>
      <c r="R34" s="298"/>
      <c r="S34" s="298"/>
      <c r="T34" s="298"/>
      <c r="U34" s="298"/>
      <c r="V34" s="298"/>
      <c r="W34" s="298"/>
      <c r="X34" s="298"/>
      <c r="Y34" s="298"/>
      <c r="Z34" s="298"/>
      <c r="AA34" s="310"/>
      <c r="AB34" s="298"/>
      <c r="AC34" s="298"/>
      <c r="AD34" s="298"/>
      <c r="AE34" s="298"/>
      <c r="AF34" s="298"/>
      <c r="AG34" s="298"/>
      <c r="AH34" s="298"/>
      <c r="AI34" s="298"/>
      <c r="AJ34" s="298"/>
      <c r="AK34" s="298"/>
      <c r="AL34" s="298"/>
      <c r="AM34" s="298"/>
      <c r="AN34" s="535"/>
    </row>
    <row r="35" spans="1:40" s="105" customFormat="1" ht="3.95" customHeight="1" thickTop="1" thickBot="1" x14ac:dyDescent="0.3">
      <c r="A35"/>
      <c r="B35" s="106"/>
      <c r="C35" s="106"/>
      <c r="D35" s="106"/>
      <c r="E35" s="106"/>
      <c r="F35" s="106"/>
      <c r="G35" s="106"/>
      <c r="H35" s="106"/>
      <c r="I35" s="106"/>
      <c r="J35" s="106"/>
      <c r="K35" s="106"/>
      <c r="L35" s="106"/>
      <c r="M35" s="106"/>
      <c r="N35" s="106"/>
      <c r="O35"/>
      <c r="P35"/>
      <c r="Q35" s="535"/>
      <c r="R35" s="298"/>
      <c r="S35" s="298"/>
      <c r="T35" s="298"/>
      <c r="U35" s="298"/>
      <c r="V35" s="298"/>
      <c r="W35" s="298"/>
      <c r="X35" s="298"/>
      <c r="Y35" s="298"/>
      <c r="Z35" s="298"/>
      <c r="AA35" s="310"/>
      <c r="AB35" s="298"/>
      <c r="AC35" s="301"/>
      <c r="AD35" s="301"/>
      <c r="AE35" s="301"/>
      <c r="AF35" s="301"/>
      <c r="AG35" s="301"/>
      <c r="AH35" s="301"/>
      <c r="AI35" s="301"/>
      <c r="AJ35" s="301"/>
      <c r="AK35" s="301"/>
      <c r="AL35" s="301"/>
      <c r="AM35" s="301"/>
      <c r="AN35" s="539"/>
    </row>
    <row r="36" spans="1:40" s="105" customFormat="1" ht="3.95" customHeight="1" thickTop="1" x14ac:dyDescent="0.25">
      <c r="A36"/>
      <c r="B36" s="770"/>
      <c r="C36" s="771"/>
      <c r="D36" s="771"/>
      <c r="E36" s="771"/>
      <c r="F36" s="771"/>
      <c r="G36" s="771"/>
      <c r="H36" s="771"/>
      <c r="I36" s="771"/>
      <c r="J36" s="771"/>
      <c r="K36" s="771"/>
      <c r="L36" s="771"/>
      <c r="M36" s="771"/>
      <c r="N36" s="772"/>
      <c r="O36"/>
      <c r="P36"/>
      <c r="Q36" s="535"/>
      <c r="R36" s="298"/>
      <c r="S36" s="298"/>
      <c r="T36" s="298"/>
      <c r="U36" s="298"/>
      <c r="V36" s="298"/>
      <c r="W36" s="298"/>
      <c r="X36" s="298"/>
      <c r="Y36" s="298"/>
      <c r="Z36" s="298"/>
      <c r="AA36" s="310"/>
      <c r="AB36" s="298"/>
      <c r="AC36" s="301"/>
      <c r="AD36" s="301"/>
      <c r="AE36" s="301"/>
      <c r="AF36" s="301"/>
      <c r="AG36" s="301"/>
      <c r="AH36" s="301"/>
      <c r="AI36" s="301"/>
      <c r="AJ36" s="301"/>
      <c r="AK36" s="301"/>
      <c r="AL36" s="301"/>
      <c r="AM36" s="301"/>
      <c r="AN36" s="539"/>
    </row>
    <row r="37" spans="1:40" s="105" customFormat="1" ht="12.95" customHeight="1" x14ac:dyDescent="0.25">
      <c r="A37"/>
      <c r="B37" s="767" t="s">
        <v>756</v>
      </c>
      <c r="C37" s="768"/>
      <c r="D37" s="768"/>
      <c r="E37" s="768"/>
      <c r="F37" s="768"/>
      <c r="G37" s="768"/>
      <c r="H37" s="768"/>
      <c r="I37" s="768"/>
      <c r="J37" s="768"/>
      <c r="K37" s="768"/>
      <c r="L37" s="768"/>
      <c r="M37" s="768"/>
      <c r="N37" s="769"/>
      <c r="O37"/>
      <c r="P37"/>
      <c r="Q37" s="535"/>
      <c r="R37" s="298"/>
      <c r="S37" s="298"/>
      <c r="T37" s="298"/>
      <c r="U37" s="298"/>
      <c r="V37" s="298"/>
      <c r="W37" s="298"/>
      <c r="X37" s="298"/>
      <c r="Y37" s="298"/>
      <c r="Z37" s="298"/>
      <c r="AA37" s="310"/>
      <c r="AB37" s="298"/>
      <c r="AC37" s="301"/>
      <c r="AD37" s="301"/>
      <c r="AE37" s="301"/>
      <c r="AF37" s="301"/>
      <c r="AG37" s="301"/>
      <c r="AH37" s="301"/>
      <c r="AI37" s="301"/>
      <c r="AJ37" s="301"/>
      <c r="AK37" s="301"/>
      <c r="AL37" s="301"/>
      <c r="AM37" s="301"/>
      <c r="AN37" s="539"/>
    </row>
    <row r="38" spans="1:40" s="105" customFormat="1" ht="12.95" customHeight="1" x14ac:dyDescent="0.25">
      <c r="A38"/>
      <c r="B38" s="767"/>
      <c r="C38" s="768"/>
      <c r="D38" s="768"/>
      <c r="E38" s="768"/>
      <c r="F38" s="768"/>
      <c r="G38" s="768"/>
      <c r="H38" s="768"/>
      <c r="I38" s="768"/>
      <c r="J38" s="768"/>
      <c r="K38" s="768"/>
      <c r="L38" s="768"/>
      <c r="M38" s="768"/>
      <c r="N38" s="769"/>
      <c r="O38"/>
      <c r="P38"/>
      <c r="Q38" s="535"/>
      <c r="R38" s="298"/>
      <c r="S38" s="298"/>
      <c r="T38" s="298"/>
      <c r="U38" s="298"/>
      <c r="V38" s="298"/>
      <c r="W38" s="298"/>
      <c r="X38" s="298"/>
      <c r="Y38" s="298"/>
      <c r="Z38" s="298"/>
      <c r="AA38" s="310"/>
      <c r="AB38" s="298"/>
      <c r="AC38" s="301"/>
      <c r="AD38" s="301"/>
      <c r="AE38" s="301"/>
      <c r="AF38" s="301"/>
      <c r="AG38" s="301"/>
      <c r="AH38" s="301"/>
      <c r="AI38" s="301"/>
      <c r="AJ38" s="301"/>
      <c r="AK38" s="301"/>
      <c r="AL38" s="301"/>
      <c r="AM38" s="301"/>
      <c r="AN38" s="539"/>
    </row>
    <row r="39" spans="1:40" s="105" customFormat="1" ht="12.95" customHeight="1" x14ac:dyDescent="0.25">
      <c r="A39"/>
      <c r="B39" s="767"/>
      <c r="C39" s="768"/>
      <c r="D39" s="768"/>
      <c r="E39" s="768"/>
      <c r="F39" s="768"/>
      <c r="G39" s="768"/>
      <c r="H39" s="768"/>
      <c r="I39" s="768"/>
      <c r="J39" s="768"/>
      <c r="K39" s="768"/>
      <c r="L39" s="768"/>
      <c r="M39" s="768"/>
      <c r="N39" s="769"/>
      <c r="O39"/>
      <c r="P39"/>
      <c r="Q39" s="535"/>
      <c r="R39" s="298"/>
      <c r="S39" s="298"/>
      <c r="T39" s="298"/>
      <c r="U39" s="298"/>
      <c r="V39" s="298"/>
      <c r="W39" s="298"/>
      <c r="X39" s="298"/>
      <c r="Y39" s="298"/>
      <c r="Z39" s="298"/>
      <c r="AA39" s="310"/>
      <c r="AB39" s="298"/>
      <c r="AC39" s="301"/>
      <c r="AD39" s="301"/>
      <c r="AE39" s="301"/>
      <c r="AF39" s="301"/>
      <c r="AG39" s="301"/>
      <c r="AH39" s="301"/>
      <c r="AI39" s="301"/>
      <c r="AJ39" s="301"/>
      <c r="AK39" s="301"/>
      <c r="AL39" s="301"/>
      <c r="AM39" s="301"/>
      <c r="AN39" s="539"/>
    </row>
    <row r="40" spans="1:40" s="105" customFormat="1" ht="3.95" customHeight="1" thickBot="1" x14ac:dyDescent="0.3">
      <c r="A40"/>
      <c r="B40" s="109"/>
      <c r="C40" s="108"/>
      <c r="D40" s="108"/>
      <c r="E40" s="108"/>
      <c r="F40" s="108"/>
      <c r="G40" s="108"/>
      <c r="H40" s="108"/>
      <c r="I40" s="108"/>
      <c r="J40" s="108"/>
      <c r="K40" s="108"/>
      <c r="L40" s="108"/>
      <c r="M40" s="108"/>
      <c r="N40" s="107"/>
      <c r="O40"/>
      <c r="P40"/>
      <c r="Q40" s="535"/>
      <c r="R40" s="298"/>
      <c r="S40" s="298"/>
      <c r="T40" s="298"/>
      <c r="U40" s="298"/>
      <c r="V40" s="298"/>
      <c r="W40" s="298"/>
      <c r="X40" s="298"/>
      <c r="Y40" s="298"/>
      <c r="Z40" s="298"/>
      <c r="AA40" s="310"/>
      <c r="AB40" s="298"/>
      <c r="AC40" s="301"/>
      <c r="AD40" s="301"/>
      <c r="AE40" s="301"/>
      <c r="AF40" s="301"/>
      <c r="AG40" s="301"/>
      <c r="AH40" s="301"/>
      <c r="AI40" s="301"/>
      <c r="AJ40" s="301"/>
      <c r="AK40" s="301"/>
      <c r="AL40" s="301"/>
      <c r="AM40" s="301"/>
      <c r="AN40" s="539"/>
    </row>
    <row r="41" spans="1:40" s="105" customFormat="1" ht="15" customHeight="1" thickTop="1" x14ac:dyDescent="0.25">
      <c r="A41"/>
      <c r="B41" s="106"/>
      <c r="C41" s="106"/>
      <c r="D41" s="106"/>
      <c r="E41" s="106"/>
      <c r="F41" s="106"/>
      <c r="G41" s="106"/>
      <c r="H41" s="106"/>
      <c r="I41" s="106"/>
      <c r="J41" s="106"/>
      <c r="K41" s="106"/>
      <c r="L41" s="106"/>
      <c r="M41" s="106"/>
      <c r="N41" s="106"/>
      <c r="O41"/>
      <c r="P41"/>
      <c r="Q41" s="535"/>
      <c r="R41" s="739" t="s">
        <v>356</v>
      </c>
      <c r="S41" s="739"/>
      <c r="T41" s="739"/>
      <c r="U41" s="739"/>
      <c r="V41" s="739"/>
      <c r="W41" s="739"/>
      <c r="X41" s="739"/>
      <c r="Y41" s="739"/>
      <c r="Z41" s="739"/>
      <c r="AA41" s="739"/>
      <c r="AB41" s="739"/>
      <c r="AC41" s="739"/>
      <c r="AD41" s="739"/>
      <c r="AE41" s="739"/>
      <c r="AF41" s="739"/>
      <c r="AG41" s="739"/>
      <c r="AH41" s="739"/>
      <c r="AI41" s="739"/>
      <c r="AJ41" s="739"/>
      <c r="AK41" s="535"/>
      <c r="AL41" s="531"/>
      <c r="AM41" s="535"/>
      <c r="AN41" s="535"/>
    </row>
    <row r="42" spans="1:40" s="105" customFormat="1" x14ac:dyDescent="0.25">
      <c r="A42"/>
      <c r="B42" s="106"/>
      <c r="C42" s="106"/>
      <c r="D42" s="106"/>
      <c r="E42" s="106"/>
      <c r="F42" s="106"/>
      <c r="G42" s="106"/>
      <c r="H42" s="106"/>
      <c r="I42" s="106"/>
      <c r="J42" s="106"/>
      <c r="K42" s="106"/>
      <c r="L42" s="106"/>
      <c r="M42" s="106"/>
      <c r="N42" s="106"/>
      <c r="O42"/>
      <c r="P42"/>
      <c r="Q42" s="535"/>
      <c r="R42" s="743" t="s">
        <v>355</v>
      </c>
      <c r="S42" s="743"/>
      <c r="T42" s="743"/>
      <c r="U42" s="540"/>
      <c r="V42" s="743" t="s">
        <v>355</v>
      </c>
      <c r="W42" s="743"/>
      <c r="X42" s="743"/>
      <c r="Y42" s="540"/>
      <c r="Z42" s="743" t="s">
        <v>355</v>
      </c>
      <c r="AA42" s="743"/>
      <c r="AB42" s="743"/>
      <c r="AC42" s="540"/>
      <c r="AD42" s="773" t="s">
        <v>355</v>
      </c>
      <c r="AE42" s="773"/>
      <c r="AF42" s="773"/>
      <c r="AG42" s="299"/>
      <c r="AH42" s="773" t="s">
        <v>355</v>
      </c>
      <c r="AI42" s="773"/>
      <c r="AJ42" s="773"/>
      <c r="AK42" s="299"/>
      <c r="AL42" s="298" t="s">
        <v>354</v>
      </c>
      <c r="AM42" s="299"/>
      <c r="AN42" s="535"/>
    </row>
    <row r="43" spans="1:40" s="105" customFormat="1" x14ac:dyDescent="0.25">
      <c r="A43"/>
      <c r="B43" s="106"/>
      <c r="C43" s="106"/>
      <c r="D43" s="106"/>
      <c r="E43" s="106"/>
      <c r="F43" s="106"/>
      <c r="G43" s="106"/>
      <c r="H43" s="106"/>
      <c r="I43" s="106"/>
      <c r="J43" s="106"/>
      <c r="K43" s="106"/>
      <c r="L43" s="106"/>
      <c r="M43" s="106"/>
      <c r="N43" s="106"/>
      <c r="O43"/>
      <c r="P43"/>
      <c r="Q43" s="535"/>
      <c r="R43" s="527" t="s">
        <v>353</v>
      </c>
      <c r="S43" s="528" t="s">
        <v>272</v>
      </c>
      <c r="T43" s="528" t="s">
        <v>271</v>
      </c>
      <c r="U43" s="540"/>
      <c r="V43" s="527" t="s">
        <v>352</v>
      </c>
      <c r="W43" s="528" t="s">
        <v>272</v>
      </c>
      <c r="X43" s="528" t="s">
        <v>271</v>
      </c>
      <c r="Y43" s="540"/>
      <c r="Z43" s="527" t="s">
        <v>351</v>
      </c>
      <c r="AA43" s="528" t="s">
        <v>272</v>
      </c>
      <c r="AB43" s="528" t="s">
        <v>271</v>
      </c>
      <c r="AC43" s="540"/>
      <c r="AD43" s="527" t="s">
        <v>350</v>
      </c>
      <c r="AE43" s="528" t="s">
        <v>272</v>
      </c>
      <c r="AF43" s="528" t="s">
        <v>271</v>
      </c>
      <c r="AG43" s="540"/>
      <c r="AH43" s="527" t="s">
        <v>349</v>
      </c>
      <c r="AI43" s="528" t="s">
        <v>272</v>
      </c>
      <c r="AJ43" s="528" t="s">
        <v>271</v>
      </c>
      <c r="AK43" s="299"/>
      <c r="AL43" s="298">
        <v>0</v>
      </c>
      <c r="AM43" s="299"/>
      <c r="AN43" s="535"/>
    </row>
    <row r="44" spans="1:40" s="105" customFormat="1" x14ac:dyDescent="0.25">
      <c r="A44"/>
      <c r="B44" s="106"/>
      <c r="C44" s="106"/>
      <c r="D44" s="106"/>
      <c r="E44" s="106"/>
      <c r="F44" s="106"/>
      <c r="G44" s="106"/>
      <c r="H44" s="106"/>
      <c r="I44" s="106"/>
      <c r="J44" s="106"/>
      <c r="K44" s="106"/>
      <c r="L44" s="106"/>
      <c r="M44" s="106"/>
      <c r="N44" s="106"/>
      <c r="O44"/>
      <c r="P44"/>
      <c r="Q44" s="535"/>
      <c r="R44" s="529" t="s">
        <v>322</v>
      </c>
      <c r="S44" s="528">
        <v>20</v>
      </c>
      <c r="T44" s="528">
        <v>35</v>
      </c>
      <c r="U44" s="540">
        <v>1</v>
      </c>
      <c r="V44" s="529" t="s">
        <v>321</v>
      </c>
      <c r="W44" s="528">
        <f t="shared" ref="W44:W62" si="30">(45-((U44-1)*5))</f>
        <v>45</v>
      </c>
      <c r="X44" s="528">
        <f t="shared" ref="X44:X62" si="31">(10+((U44-1)*5))</f>
        <v>10</v>
      </c>
      <c r="Y44" s="540">
        <v>1</v>
      </c>
      <c r="Z44" s="529" t="s">
        <v>320</v>
      </c>
      <c r="AA44" s="528">
        <f t="shared" ref="AA44:AA62" si="32">(40-((Y44-1)*5))</f>
        <v>40</v>
      </c>
      <c r="AB44" s="528">
        <f t="shared" ref="AB44:AB62" si="33">(5+((Y44-1)*5))</f>
        <v>5</v>
      </c>
      <c r="AC44" s="540"/>
      <c r="AD44" s="528" t="s">
        <v>348</v>
      </c>
      <c r="AE44" s="528">
        <v>5</v>
      </c>
      <c r="AF44" s="528">
        <v>45</v>
      </c>
      <c r="AG44" s="540"/>
      <c r="AH44" s="541" t="s">
        <v>347</v>
      </c>
      <c r="AI44" s="528">
        <v>45</v>
      </c>
      <c r="AJ44" s="528">
        <v>65</v>
      </c>
      <c r="AK44" s="299"/>
      <c r="AL44" s="298">
        <v>5</v>
      </c>
      <c r="AM44" s="299"/>
      <c r="AN44" s="535"/>
    </row>
    <row r="45" spans="1:40" s="105" customFormat="1" x14ac:dyDescent="0.25">
      <c r="A45"/>
      <c r="B45" s="106"/>
      <c r="C45" s="106"/>
      <c r="D45" s="106"/>
      <c r="E45" s="106"/>
      <c r="F45" s="106"/>
      <c r="G45" s="106"/>
      <c r="H45" s="106"/>
      <c r="I45" s="106"/>
      <c r="J45" s="106"/>
      <c r="K45" s="106"/>
      <c r="L45" s="106"/>
      <c r="M45" s="106"/>
      <c r="N45" s="106"/>
      <c r="O45"/>
      <c r="P45"/>
      <c r="Q45" s="535"/>
      <c r="R45" s="529" t="s">
        <v>319</v>
      </c>
      <c r="S45" s="528">
        <v>15</v>
      </c>
      <c r="T45" s="528">
        <v>40</v>
      </c>
      <c r="U45" s="540">
        <v>2</v>
      </c>
      <c r="V45" s="529" t="s">
        <v>318</v>
      </c>
      <c r="W45" s="528">
        <f t="shared" si="30"/>
        <v>40</v>
      </c>
      <c r="X45" s="528">
        <f t="shared" si="31"/>
        <v>15</v>
      </c>
      <c r="Y45" s="540">
        <v>2</v>
      </c>
      <c r="Z45" s="529" t="s">
        <v>317</v>
      </c>
      <c r="AA45" s="528">
        <f t="shared" si="32"/>
        <v>35</v>
      </c>
      <c r="AB45" s="528">
        <f t="shared" si="33"/>
        <v>10</v>
      </c>
      <c r="AC45" s="540">
        <v>1</v>
      </c>
      <c r="AD45" s="528" t="s">
        <v>346</v>
      </c>
      <c r="AE45" s="528">
        <f t="shared" ref="AE45:AE56" si="34">0-(AC45*5)</f>
        <v>-5</v>
      </c>
      <c r="AF45" s="528">
        <f t="shared" ref="AF45:AF56" si="35">60+(AC45*5)</f>
        <v>65</v>
      </c>
      <c r="AG45" s="540"/>
      <c r="AH45" s="541" t="s">
        <v>23</v>
      </c>
      <c r="AI45" s="528">
        <v>40</v>
      </c>
      <c r="AJ45" s="528">
        <v>60</v>
      </c>
      <c r="AK45" s="299"/>
      <c r="AL45" s="298">
        <v>10</v>
      </c>
      <c r="AM45" s="299"/>
      <c r="AN45" s="535"/>
    </row>
    <row r="46" spans="1:40" s="105" customFormat="1" x14ac:dyDescent="0.25">
      <c r="A46"/>
      <c r="B46" s="106"/>
      <c r="C46" s="106"/>
      <c r="D46" s="106"/>
      <c r="E46" s="106"/>
      <c r="F46" s="106"/>
      <c r="G46" s="106"/>
      <c r="H46" s="106"/>
      <c r="I46" s="106"/>
      <c r="J46" s="106"/>
      <c r="K46" s="106"/>
      <c r="L46" s="106"/>
      <c r="M46" s="106"/>
      <c r="N46" s="106"/>
      <c r="O46"/>
      <c r="P46"/>
      <c r="Q46" s="535"/>
      <c r="R46" s="529" t="s">
        <v>316</v>
      </c>
      <c r="S46" s="528">
        <v>0</v>
      </c>
      <c r="T46" s="528">
        <v>45</v>
      </c>
      <c r="U46" s="540">
        <v>3</v>
      </c>
      <c r="V46" s="529" t="s">
        <v>315</v>
      </c>
      <c r="W46" s="528">
        <f t="shared" si="30"/>
        <v>35</v>
      </c>
      <c r="X46" s="528">
        <f t="shared" si="31"/>
        <v>20</v>
      </c>
      <c r="Y46" s="540">
        <v>3</v>
      </c>
      <c r="Z46" s="529" t="s">
        <v>314</v>
      </c>
      <c r="AA46" s="528">
        <f t="shared" si="32"/>
        <v>30</v>
      </c>
      <c r="AB46" s="528">
        <f t="shared" si="33"/>
        <v>15</v>
      </c>
      <c r="AC46" s="540">
        <v>2</v>
      </c>
      <c r="AD46" s="528" t="s">
        <v>345</v>
      </c>
      <c r="AE46" s="528">
        <f t="shared" si="34"/>
        <v>-10</v>
      </c>
      <c r="AF46" s="528">
        <f t="shared" si="35"/>
        <v>70</v>
      </c>
      <c r="AG46" s="540"/>
      <c r="AH46" s="541" t="s">
        <v>344</v>
      </c>
      <c r="AI46" s="528">
        <v>35</v>
      </c>
      <c r="AJ46" s="528">
        <v>55</v>
      </c>
      <c r="AK46" s="299"/>
      <c r="AL46" s="298">
        <v>15</v>
      </c>
      <c r="AM46" s="299"/>
      <c r="AN46" s="535"/>
    </row>
    <row r="47" spans="1:40" s="105" customFormat="1" x14ac:dyDescent="0.25">
      <c r="A47"/>
      <c r="B47" s="106"/>
      <c r="C47" s="106"/>
      <c r="D47" s="106"/>
      <c r="E47" s="106"/>
      <c r="F47" s="106"/>
      <c r="G47" s="106"/>
      <c r="H47" s="106"/>
      <c r="I47" s="106"/>
      <c r="J47" s="106"/>
      <c r="K47" s="106"/>
      <c r="L47" s="106"/>
      <c r="M47" s="106"/>
      <c r="N47" s="106"/>
      <c r="O47"/>
      <c r="P47"/>
      <c r="Q47" s="535"/>
      <c r="R47" s="529" t="s">
        <v>313</v>
      </c>
      <c r="S47" s="528">
        <v>-5</v>
      </c>
      <c r="T47" s="528">
        <v>50</v>
      </c>
      <c r="U47" s="540">
        <v>4</v>
      </c>
      <c r="V47" s="529" t="s">
        <v>312</v>
      </c>
      <c r="W47" s="528">
        <f t="shared" si="30"/>
        <v>30</v>
      </c>
      <c r="X47" s="528">
        <f t="shared" si="31"/>
        <v>25</v>
      </c>
      <c r="Y47" s="540">
        <v>4</v>
      </c>
      <c r="Z47" s="529" t="s">
        <v>311</v>
      </c>
      <c r="AA47" s="528">
        <f t="shared" si="32"/>
        <v>25</v>
      </c>
      <c r="AB47" s="528">
        <f t="shared" si="33"/>
        <v>20</v>
      </c>
      <c r="AC47" s="540">
        <v>3</v>
      </c>
      <c r="AD47" s="528" t="s">
        <v>343</v>
      </c>
      <c r="AE47" s="528">
        <f t="shared" si="34"/>
        <v>-15</v>
      </c>
      <c r="AF47" s="528">
        <f t="shared" si="35"/>
        <v>75</v>
      </c>
      <c r="AG47" s="540"/>
      <c r="AH47" s="541" t="s">
        <v>26</v>
      </c>
      <c r="AI47" s="528">
        <v>30</v>
      </c>
      <c r="AJ47" s="528">
        <v>50</v>
      </c>
      <c r="AK47" s="299"/>
      <c r="AL47" s="298">
        <v>20</v>
      </c>
      <c r="AM47" s="299"/>
      <c r="AN47" s="535"/>
    </row>
    <row r="48" spans="1:40" s="105" customFormat="1" x14ac:dyDescent="0.25">
      <c r="A48"/>
      <c r="B48" s="106"/>
      <c r="C48" s="106"/>
      <c r="D48" s="106"/>
      <c r="E48" s="106"/>
      <c r="F48" s="106"/>
      <c r="G48" s="106"/>
      <c r="H48" s="106"/>
      <c r="I48" s="106"/>
      <c r="J48" s="106"/>
      <c r="K48" s="106"/>
      <c r="L48" s="106"/>
      <c r="M48" s="106"/>
      <c r="N48" s="106"/>
      <c r="O48"/>
      <c r="P48"/>
      <c r="Q48" s="535"/>
      <c r="R48" s="529" t="s">
        <v>310</v>
      </c>
      <c r="S48" s="528">
        <v>-10</v>
      </c>
      <c r="T48" s="528">
        <v>65</v>
      </c>
      <c r="U48" s="540">
        <v>5</v>
      </c>
      <c r="V48" s="529" t="s">
        <v>309</v>
      </c>
      <c r="W48" s="528">
        <f t="shared" si="30"/>
        <v>25</v>
      </c>
      <c r="X48" s="528">
        <f t="shared" si="31"/>
        <v>30</v>
      </c>
      <c r="Y48" s="540">
        <v>5</v>
      </c>
      <c r="Z48" s="529" t="s">
        <v>308</v>
      </c>
      <c r="AA48" s="528">
        <f t="shared" si="32"/>
        <v>20</v>
      </c>
      <c r="AB48" s="528">
        <f t="shared" si="33"/>
        <v>25</v>
      </c>
      <c r="AC48" s="540">
        <v>4</v>
      </c>
      <c r="AD48" s="528" t="s">
        <v>342</v>
      </c>
      <c r="AE48" s="528">
        <f t="shared" si="34"/>
        <v>-20</v>
      </c>
      <c r="AF48" s="528">
        <f t="shared" si="35"/>
        <v>80</v>
      </c>
      <c r="AG48" s="540"/>
      <c r="AH48" s="541" t="s">
        <v>341</v>
      </c>
      <c r="AI48" s="528">
        <v>25</v>
      </c>
      <c r="AJ48" s="528">
        <v>45</v>
      </c>
      <c r="AK48" s="299"/>
      <c r="AL48" s="298">
        <v>25</v>
      </c>
      <c r="AM48" s="299"/>
      <c r="AN48" s="535"/>
    </row>
    <row r="49" spans="1:40" s="105" customFormat="1" x14ac:dyDescent="0.25">
      <c r="A49"/>
      <c r="B49" s="106"/>
      <c r="C49" s="106"/>
      <c r="D49" s="106"/>
      <c r="E49" s="106"/>
      <c r="F49" s="106"/>
      <c r="G49" s="106"/>
      <c r="H49" s="106"/>
      <c r="I49" s="106"/>
      <c r="J49" s="106"/>
      <c r="K49" s="106"/>
      <c r="L49" s="106"/>
      <c r="M49" s="106"/>
      <c r="N49" s="106"/>
      <c r="O49"/>
      <c r="P49"/>
      <c r="Q49" s="535"/>
      <c r="R49" s="529" t="s">
        <v>307</v>
      </c>
      <c r="S49" s="528">
        <v>-20</v>
      </c>
      <c r="T49" s="528">
        <v>75</v>
      </c>
      <c r="U49" s="540">
        <v>6</v>
      </c>
      <c r="V49" s="529" t="s">
        <v>306</v>
      </c>
      <c r="W49" s="528">
        <f t="shared" si="30"/>
        <v>20</v>
      </c>
      <c r="X49" s="528">
        <f t="shared" si="31"/>
        <v>35</v>
      </c>
      <c r="Y49" s="540">
        <v>6</v>
      </c>
      <c r="Z49" s="529" t="s">
        <v>305</v>
      </c>
      <c r="AA49" s="528">
        <f t="shared" si="32"/>
        <v>15</v>
      </c>
      <c r="AB49" s="528">
        <f t="shared" si="33"/>
        <v>30</v>
      </c>
      <c r="AC49" s="540">
        <v>5</v>
      </c>
      <c r="AD49" s="528" t="s">
        <v>340</v>
      </c>
      <c r="AE49" s="528">
        <f t="shared" si="34"/>
        <v>-25</v>
      </c>
      <c r="AF49" s="528">
        <f t="shared" si="35"/>
        <v>85</v>
      </c>
      <c r="AG49" s="540"/>
      <c r="AH49" s="541" t="s">
        <v>339</v>
      </c>
      <c r="AI49" s="528">
        <v>20</v>
      </c>
      <c r="AJ49" s="528">
        <v>40</v>
      </c>
      <c r="AK49" s="299"/>
      <c r="AL49" s="298">
        <v>30</v>
      </c>
      <c r="AM49" s="299"/>
      <c r="AN49" s="535"/>
    </row>
    <row r="50" spans="1:40" s="105" customFormat="1" x14ac:dyDescent="0.25">
      <c r="A50"/>
      <c r="B50" s="106"/>
      <c r="C50" s="106"/>
      <c r="D50" s="106"/>
      <c r="E50" s="106"/>
      <c r="F50" s="106"/>
      <c r="G50" s="106"/>
      <c r="H50" s="106"/>
      <c r="I50" s="106"/>
      <c r="J50" s="106"/>
      <c r="K50" s="106"/>
      <c r="L50" s="106"/>
      <c r="M50" s="106"/>
      <c r="N50" s="106"/>
      <c r="O50"/>
      <c r="P50"/>
      <c r="Q50" s="535"/>
      <c r="R50" s="529" t="s">
        <v>304</v>
      </c>
      <c r="S50" s="528">
        <v>-25</v>
      </c>
      <c r="T50" s="528">
        <v>90</v>
      </c>
      <c r="U50" s="540">
        <v>7</v>
      </c>
      <c r="V50" s="529" t="s">
        <v>303</v>
      </c>
      <c r="W50" s="528">
        <f t="shared" si="30"/>
        <v>15</v>
      </c>
      <c r="X50" s="528">
        <f t="shared" si="31"/>
        <v>40</v>
      </c>
      <c r="Y50" s="540">
        <v>7</v>
      </c>
      <c r="Z50" s="529" t="s">
        <v>302</v>
      </c>
      <c r="AA50" s="528">
        <f t="shared" si="32"/>
        <v>10</v>
      </c>
      <c r="AB50" s="528">
        <f t="shared" si="33"/>
        <v>35</v>
      </c>
      <c r="AC50" s="540">
        <v>6</v>
      </c>
      <c r="AD50" s="528" t="s">
        <v>338</v>
      </c>
      <c r="AE50" s="528">
        <f t="shared" si="34"/>
        <v>-30</v>
      </c>
      <c r="AF50" s="528">
        <f t="shared" si="35"/>
        <v>90</v>
      </c>
      <c r="AG50" s="540"/>
      <c r="AH50" s="541" t="s">
        <v>2</v>
      </c>
      <c r="AI50" s="528">
        <v>15</v>
      </c>
      <c r="AJ50" s="528">
        <v>35</v>
      </c>
      <c r="AK50" s="299"/>
      <c r="AL50" s="298">
        <v>35</v>
      </c>
      <c r="AM50" s="299"/>
      <c r="AN50" s="535"/>
    </row>
    <row r="51" spans="1:40" s="105" customFormat="1" x14ac:dyDescent="0.25">
      <c r="A51"/>
      <c r="B51" s="106"/>
      <c r="C51" s="106"/>
      <c r="D51" s="106"/>
      <c r="E51" s="106"/>
      <c r="F51" s="106"/>
      <c r="G51" s="106"/>
      <c r="H51" s="106"/>
      <c r="I51" s="106"/>
      <c r="J51" s="106"/>
      <c r="K51" s="106"/>
      <c r="L51" s="106"/>
      <c r="M51" s="106"/>
      <c r="N51" s="106"/>
      <c r="O51"/>
      <c r="P51"/>
      <c r="Q51" s="535"/>
      <c r="R51" s="529" t="s">
        <v>301</v>
      </c>
      <c r="S51" s="528">
        <v>-25</v>
      </c>
      <c r="T51" s="528">
        <v>90</v>
      </c>
      <c r="U51" s="540">
        <v>8</v>
      </c>
      <c r="V51" s="529" t="s">
        <v>300</v>
      </c>
      <c r="W51" s="528">
        <f t="shared" si="30"/>
        <v>10</v>
      </c>
      <c r="X51" s="528">
        <f t="shared" si="31"/>
        <v>45</v>
      </c>
      <c r="Y51" s="540">
        <v>8</v>
      </c>
      <c r="Z51" s="529" t="s">
        <v>299</v>
      </c>
      <c r="AA51" s="528">
        <f t="shared" si="32"/>
        <v>5</v>
      </c>
      <c r="AB51" s="528">
        <f t="shared" si="33"/>
        <v>40</v>
      </c>
      <c r="AC51" s="540">
        <v>7</v>
      </c>
      <c r="AD51" s="528" t="s">
        <v>337</v>
      </c>
      <c r="AE51" s="528">
        <f t="shared" si="34"/>
        <v>-35</v>
      </c>
      <c r="AF51" s="528">
        <f t="shared" si="35"/>
        <v>95</v>
      </c>
      <c r="AG51" s="540"/>
      <c r="AH51" s="541" t="s">
        <v>336</v>
      </c>
      <c r="AI51" s="528">
        <v>10</v>
      </c>
      <c r="AJ51" s="528">
        <v>30</v>
      </c>
      <c r="AK51" s="299"/>
      <c r="AL51" s="298">
        <v>40</v>
      </c>
      <c r="AM51" s="299"/>
      <c r="AN51" s="535"/>
    </row>
    <row r="52" spans="1:40" s="105" customFormat="1" x14ac:dyDescent="0.25">
      <c r="A52"/>
      <c r="B52" s="106"/>
      <c r="C52" s="106"/>
      <c r="D52" s="106"/>
      <c r="E52" s="106"/>
      <c r="F52" s="106"/>
      <c r="G52" s="106"/>
      <c r="H52" s="106"/>
      <c r="I52" s="106"/>
      <c r="J52" s="106"/>
      <c r="K52" s="106"/>
      <c r="L52" s="106"/>
      <c r="M52" s="106"/>
      <c r="N52" s="106"/>
      <c r="O52"/>
      <c r="P52"/>
      <c r="Q52" s="535"/>
      <c r="R52" s="529" t="s">
        <v>298</v>
      </c>
      <c r="S52" s="528">
        <v>0</v>
      </c>
      <c r="T52" s="528">
        <v>70</v>
      </c>
      <c r="U52" s="540">
        <v>9</v>
      </c>
      <c r="V52" s="529" t="s">
        <v>297</v>
      </c>
      <c r="W52" s="528">
        <f t="shared" si="30"/>
        <v>5</v>
      </c>
      <c r="X52" s="528">
        <f t="shared" si="31"/>
        <v>50</v>
      </c>
      <c r="Y52" s="540">
        <v>9</v>
      </c>
      <c r="Z52" s="529" t="s">
        <v>296</v>
      </c>
      <c r="AA52" s="528">
        <f t="shared" si="32"/>
        <v>0</v>
      </c>
      <c r="AB52" s="528">
        <f t="shared" si="33"/>
        <v>45</v>
      </c>
      <c r="AC52" s="540">
        <v>8</v>
      </c>
      <c r="AD52" s="528" t="s">
        <v>335</v>
      </c>
      <c r="AE52" s="528">
        <f t="shared" si="34"/>
        <v>-40</v>
      </c>
      <c r="AF52" s="528">
        <f t="shared" si="35"/>
        <v>100</v>
      </c>
      <c r="AG52" s="540"/>
      <c r="AH52" s="541" t="s">
        <v>334</v>
      </c>
      <c r="AI52" s="528">
        <v>7</v>
      </c>
      <c r="AJ52" s="528">
        <v>28</v>
      </c>
      <c r="AK52" s="299"/>
      <c r="AL52" s="298">
        <v>45</v>
      </c>
      <c r="AM52" s="299"/>
      <c r="AN52" s="535"/>
    </row>
    <row r="53" spans="1:40" s="105" customFormat="1" x14ac:dyDescent="0.25">
      <c r="A53"/>
      <c r="B53" s="106"/>
      <c r="C53" s="106"/>
      <c r="D53" s="106"/>
      <c r="E53" s="106"/>
      <c r="F53" s="106"/>
      <c r="G53" s="106"/>
      <c r="H53" s="106"/>
      <c r="I53" s="106"/>
      <c r="J53" s="106"/>
      <c r="K53" s="106"/>
      <c r="L53" s="106"/>
      <c r="M53" s="106"/>
      <c r="N53" s="106"/>
      <c r="O53"/>
      <c r="P53"/>
      <c r="Q53" s="535"/>
      <c r="R53" s="529" t="s">
        <v>295</v>
      </c>
      <c r="S53" s="528">
        <v>0</v>
      </c>
      <c r="T53" s="528">
        <v>70</v>
      </c>
      <c r="U53" s="540">
        <v>10</v>
      </c>
      <c r="V53" s="529" t="s">
        <v>294</v>
      </c>
      <c r="W53" s="528">
        <f t="shared" si="30"/>
        <v>0</v>
      </c>
      <c r="X53" s="528">
        <f t="shared" si="31"/>
        <v>55</v>
      </c>
      <c r="Y53" s="540">
        <v>10</v>
      </c>
      <c r="Z53" s="529" t="s">
        <v>293</v>
      </c>
      <c r="AA53" s="528">
        <f t="shared" si="32"/>
        <v>-5</v>
      </c>
      <c r="AB53" s="528">
        <f t="shared" si="33"/>
        <v>50</v>
      </c>
      <c r="AC53" s="540">
        <v>9</v>
      </c>
      <c r="AD53" s="528" t="s">
        <v>333</v>
      </c>
      <c r="AE53" s="528">
        <f t="shared" si="34"/>
        <v>-45</v>
      </c>
      <c r="AF53" s="528">
        <f t="shared" si="35"/>
        <v>105</v>
      </c>
      <c r="AG53" s="540"/>
      <c r="AH53" s="541" t="s">
        <v>29</v>
      </c>
      <c r="AI53" s="528">
        <v>5</v>
      </c>
      <c r="AJ53" s="528">
        <v>25</v>
      </c>
      <c r="AK53" s="299"/>
      <c r="AL53" s="298">
        <v>50</v>
      </c>
      <c r="AM53" s="299"/>
      <c r="AN53" s="535"/>
    </row>
    <row r="54" spans="1:40" s="105" customFormat="1" x14ac:dyDescent="0.25">
      <c r="A54"/>
      <c r="B54" s="106"/>
      <c r="C54" s="106"/>
      <c r="D54" s="106"/>
      <c r="E54" s="106"/>
      <c r="F54" s="106"/>
      <c r="G54" s="106"/>
      <c r="H54" s="106"/>
      <c r="I54" s="106"/>
      <c r="J54" s="106"/>
      <c r="K54" s="106"/>
      <c r="L54" s="106"/>
      <c r="M54" s="106"/>
      <c r="N54" s="106"/>
      <c r="O54"/>
      <c r="P54"/>
      <c r="Q54" s="535"/>
      <c r="R54" s="542"/>
      <c r="S54" s="301"/>
      <c r="T54" s="301"/>
      <c r="U54" s="540">
        <v>11</v>
      </c>
      <c r="V54" s="529" t="s">
        <v>292</v>
      </c>
      <c r="W54" s="528">
        <f t="shared" si="30"/>
        <v>-5</v>
      </c>
      <c r="X54" s="528">
        <f t="shared" si="31"/>
        <v>60</v>
      </c>
      <c r="Y54" s="540">
        <v>11</v>
      </c>
      <c r="Z54" s="529" t="s">
        <v>291</v>
      </c>
      <c r="AA54" s="528">
        <f t="shared" si="32"/>
        <v>-10</v>
      </c>
      <c r="AB54" s="528">
        <f t="shared" si="33"/>
        <v>55</v>
      </c>
      <c r="AC54" s="540">
        <v>10</v>
      </c>
      <c r="AD54" s="528" t="s">
        <v>332</v>
      </c>
      <c r="AE54" s="528">
        <f t="shared" si="34"/>
        <v>-50</v>
      </c>
      <c r="AF54" s="528">
        <f t="shared" si="35"/>
        <v>110</v>
      </c>
      <c r="AG54" s="540"/>
      <c r="AH54" s="542"/>
      <c r="AI54" s="301"/>
      <c r="AJ54" s="301"/>
      <c r="AK54" s="299"/>
      <c r="AL54" s="298">
        <v>55</v>
      </c>
      <c r="AM54" s="299"/>
      <c r="AN54" s="535"/>
    </row>
    <row r="55" spans="1:40" s="105" customFormat="1" x14ac:dyDescent="0.25">
      <c r="A55"/>
      <c r="B55" s="106"/>
      <c r="C55" s="106"/>
      <c r="D55" s="106"/>
      <c r="E55" s="106"/>
      <c r="F55" s="106"/>
      <c r="G55" s="106"/>
      <c r="H55" s="106"/>
      <c r="I55" s="106"/>
      <c r="J55" s="106"/>
      <c r="K55" s="106"/>
      <c r="L55" s="106"/>
      <c r="M55" s="106"/>
      <c r="N55" s="106"/>
      <c r="O55"/>
      <c r="P55"/>
      <c r="Q55" s="535"/>
      <c r="R55" s="542"/>
      <c r="S55" s="301"/>
      <c r="T55" s="301"/>
      <c r="U55" s="540">
        <v>12</v>
      </c>
      <c r="V55" s="529" t="s">
        <v>290</v>
      </c>
      <c r="W55" s="528">
        <f t="shared" si="30"/>
        <v>-10</v>
      </c>
      <c r="X55" s="528">
        <f t="shared" si="31"/>
        <v>65</v>
      </c>
      <c r="Y55" s="540">
        <v>12</v>
      </c>
      <c r="Z55" s="529" t="s">
        <v>289</v>
      </c>
      <c r="AA55" s="528">
        <f t="shared" si="32"/>
        <v>-15</v>
      </c>
      <c r="AB55" s="528">
        <f t="shared" si="33"/>
        <v>60</v>
      </c>
      <c r="AC55" s="540">
        <v>11</v>
      </c>
      <c r="AD55" s="528" t="s">
        <v>331</v>
      </c>
      <c r="AE55" s="528">
        <f t="shared" si="34"/>
        <v>-55</v>
      </c>
      <c r="AF55" s="528">
        <f t="shared" si="35"/>
        <v>115</v>
      </c>
      <c r="AG55" s="540"/>
      <c r="AH55" s="542"/>
      <c r="AI55" s="301"/>
      <c r="AJ55" s="301"/>
      <c r="AK55" s="299"/>
      <c r="AL55" s="298">
        <v>60</v>
      </c>
      <c r="AM55" s="299"/>
      <c r="AN55" s="535"/>
    </row>
    <row r="56" spans="1:40" s="105" customFormat="1" x14ac:dyDescent="0.25">
      <c r="A56"/>
      <c r="B56" s="106"/>
      <c r="C56" s="106"/>
      <c r="D56" s="106"/>
      <c r="E56" s="106"/>
      <c r="F56" s="106"/>
      <c r="G56" s="106"/>
      <c r="H56" s="106"/>
      <c r="I56" s="106"/>
      <c r="J56" s="106"/>
      <c r="K56" s="106"/>
      <c r="L56" s="106"/>
      <c r="M56" s="106"/>
      <c r="N56" s="106"/>
      <c r="O56"/>
      <c r="P56"/>
      <c r="Q56" s="535"/>
      <c r="R56" s="527" t="s">
        <v>330</v>
      </c>
      <c r="S56" s="301"/>
      <c r="T56" s="301"/>
      <c r="U56" s="540">
        <v>13</v>
      </c>
      <c r="V56" s="529" t="s">
        <v>288</v>
      </c>
      <c r="W56" s="528">
        <f t="shared" si="30"/>
        <v>-15</v>
      </c>
      <c r="X56" s="528">
        <f t="shared" si="31"/>
        <v>70</v>
      </c>
      <c r="Y56" s="540">
        <v>13</v>
      </c>
      <c r="Z56" s="529" t="s">
        <v>287</v>
      </c>
      <c r="AA56" s="528">
        <f t="shared" si="32"/>
        <v>-20</v>
      </c>
      <c r="AB56" s="528">
        <f t="shared" si="33"/>
        <v>65</v>
      </c>
      <c r="AC56" s="540">
        <v>12</v>
      </c>
      <c r="AD56" s="528" t="s">
        <v>329</v>
      </c>
      <c r="AE56" s="528">
        <f t="shared" si="34"/>
        <v>-60</v>
      </c>
      <c r="AF56" s="528">
        <f t="shared" si="35"/>
        <v>120</v>
      </c>
      <c r="AG56" s="540"/>
      <c r="AH56" s="542"/>
      <c r="AI56" s="301"/>
      <c r="AJ56" s="301"/>
      <c r="AK56" s="299"/>
      <c r="AL56" s="298">
        <v>65</v>
      </c>
      <c r="AM56" s="299"/>
      <c r="AN56" s="535"/>
    </row>
    <row r="57" spans="1:40" s="105" customFormat="1" x14ac:dyDescent="0.25">
      <c r="A57"/>
      <c r="B57" s="106"/>
      <c r="C57" s="106"/>
      <c r="D57" s="106"/>
      <c r="E57" s="106"/>
      <c r="F57" s="106"/>
      <c r="G57" s="106"/>
      <c r="H57" s="106"/>
      <c r="I57" s="106"/>
      <c r="J57" s="106"/>
      <c r="K57" s="106"/>
      <c r="L57" s="106"/>
      <c r="M57" s="106"/>
      <c r="N57" s="106"/>
      <c r="O57"/>
      <c r="P57"/>
      <c r="Q57" s="535"/>
      <c r="R57" s="529" t="s">
        <v>328</v>
      </c>
      <c r="S57" s="301"/>
      <c r="T57" s="301"/>
      <c r="U57" s="540">
        <v>14</v>
      </c>
      <c r="V57" s="529" t="s">
        <v>286</v>
      </c>
      <c r="W57" s="528">
        <f t="shared" si="30"/>
        <v>-20</v>
      </c>
      <c r="X57" s="528">
        <f t="shared" si="31"/>
        <v>75</v>
      </c>
      <c r="Y57" s="540">
        <v>14</v>
      </c>
      <c r="Z57" s="529" t="s">
        <v>285</v>
      </c>
      <c r="AA57" s="528">
        <f t="shared" si="32"/>
        <v>-25</v>
      </c>
      <c r="AB57" s="528">
        <f t="shared" si="33"/>
        <v>70</v>
      </c>
      <c r="AC57" s="540"/>
      <c r="AD57" s="301"/>
      <c r="AE57" s="301"/>
      <c r="AF57" s="301"/>
      <c r="AG57" s="540"/>
      <c r="AH57" s="542"/>
      <c r="AI57" s="301"/>
      <c r="AJ57" s="301"/>
      <c r="AK57" s="299"/>
      <c r="AL57" s="298">
        <v>70</v>
      </c>
      <c r="AM57" s="299"/>
      <c r="AN57" s="535"/>
    </row>
    <row r="58" spans="1:40" s="105" customFormat="1" x14ac:dyDescent="0.25">
      <c r="A58"/>
      <c r="B58" s="106"/>
      <c r="C58" s="106"/>
      <c r="D58" s="106"/>
      <c r="E58" s="106"/>
      <c r="F58" s="106"/>
      <c r="G58" s="106"/>
      <c r="H58" s="106"/>
      <c r="I58" s="106"/>
      <c r="J58" s="106"/>
      <c r="K58" s="106"/>
      <c r="L58" s="106"/>
      <c r="M58" s="106"/>
      <c r="N58" s="106"/>
      <c r="O58"/>
      <c r="P58"/>
      <c r="Q58" s="535"/>
      <c r="R58" s="529" t="s">
        <v>327</v>
      </c>
      <c r="S58" s="301"/>
      <c r="T58" s="301"/>
      <c r="U58" s="540">
        <v>15</v>
      </c>
      <c r="V58" s="529" t="s">
        <v>284</v>
      </c>
      <c r="W58" s="528">
        <f t="shared" si="30"/>
        <v>-25</v>
      </c>
      <c r="X58" s="528">
        <f t="shared" si="31"/>
        <v>80</v>
      </c>
      <c r="Y58" s="540">
        <v>15</v>
      </c>
      <c r="Z58" s="529" t="s">
        <v>283</v>
      </c>
      <c r="AA58" s="528">
        <f t="shared" si="32"/>
        <v>-30</v>
      </c>
      <c r="AB58" s="528">
        <f t="shared" si="33"/>
        <v>75</v>
      </c>
      <c r="AC58" s="540"/>
      <c r="AD58" s="298"/>
      <c r="AE58" s="298"/>
      <c r="AF58" s="298"/>
      <c r="AG58" s="299"/>
      <c r="AH58" s="543"/>
      <c r="AI58" s="298"/>
      <c r="AJ58" s="298"/>
      <c r="AK58" s="299"/>
      <c r="AL58" s="298">
        <v>75</v>
      </c>
      <c r="AM58" s="299"/>
      <c r="AN58" s="535"/>
    </row>
    <row r="59" spans="1:40" s="105" customFormat="1" x14ac:dyDescent="0.25">
      <c r="A59"/>
      <c r="B59" s="106"/>
      <c r="C59" s="106"/>
      <c r="D59" s="106"/>
      <c r="E59" s="106"/>
      <c r="F59" s="106"/>
      <c r="G59" s="106"/>
      <c r="H59" s="106"/>
      <c r="I59" s="106"/>
      <c r="J59" s="106"/>
      <c r="K59" s="106"/>
      <c r="L59" s="106"/>
      <c r="M59" s="106"/>
      <c r="N59" s="106"/>
      <c r="O59"/>
      <c r="P59"/>
      <c r="Q59" s="535"/>
      <c r="R59" s="542"/>
      <c r="S59" s="301"/>
      <c r="T59" s="301"/>
      <c r="U59" s="540">
        <v>16</v>
      </c>
      <c r="V59" s="529" t="s">
        <v>282</v>
      </c>
      <c r="W59" s="528">
        <f t="shared" si="30"/>
        <v>-30</v>
      </c>
      <c r="X59" s="528">
        <f t="shared" si="31"/>
        <v>85</v>
      </c>
      <c r="Y59" s="540">
        <v>16</v>
      </c>
      <c r="Z59" s="529" t="s">
        <v>281</v>
      </c>
      <c r="AA59" s="528">
        <f t="shared" si="32"/>
        <v>-35</v>
      </c>
      <c r="AB59" s="528">
        <f t="shared" si="33"/>
        <v>80</v>
      </c>
      <c r="AC59" s="540"/>
      <c r="AD59" s="544" t="s">
        <v>745</v>
      </c>
      <c r="AE59" s="544" t="s">
        <v>244</v>
      </c>
      <c r="AF59" s="298"/>
      <c r="AG59" s="299"/>
      <c r="AH59" s="543"/>
      <c r="AI59" s="298"/>
      <c r="AJ59" s="298"/>
      <c r="AK59" s="299"/>
      <c r="AL59" s="298">
        <v>80</v>
      </c>
      <c r="AM59" s="299"/>
      <c r="AN59" s="535"/>
    </row>
    <row r="60" spans="1:40" s="105" customFormat="1" x14ac:dyDescent="0.25">
      <c r="A60"/>
      <c r="B60" s="106"/>
      <c r="C60" s="106"/>
      <c r="D60" s="106"/>
      <c r="E60" s="106"/>
      <c r="F60" s="106"/>
      <c r="G60" s="106"/>
      <c r="H60" s="106"/>
      <c r="I60" s="106"/>
      <c r="J60" s="106"/>
      <c r="K60" s="106"/>
      <c r="L60" s="106"/>
      <c r="M60" s="106"/>
      <c r="N60" s="106"/>
      <c r="O60"/>
      <c r="P60"/>
      <c r="Q60" s="535"/>
      <c r="R60" s="542"/>
      <c r="S60" s="301"/>
      <c r="T60" s="301"/>
      <c r="U60" s="540">
        <v>17</v>
      </c>
      <c r="V60" s="529" t="s">
        <v>280</v>
      </c>
      <c r="W60" s="528">
        <f t="shared" si="30"/>
        <v>-35</v>
      </c>
      <c r="X60" s="528">
        <f t="shared" si="31"/>
        <v>90</v>
      </c>
      <c r="Y60" s="540">
        <v>17</v>
      </c>
      <c r="Z60" s="529" t="s">
        <v>279</v>
      </c>
      <c r="AA60" s="528">
        <f t="shared" si="32"/>
        <v>-40</v>
      </c>
      <c r="AB60" s="528">
        <f t="shared" si="33"/>
        <v>85</v>
      </c>
      <c r="AC60" s="540"/>
      <c r="AD60" s="528" t="s">
        <v>36</v>
      </c>
      <c r="AE60" s="528" t="s">
        <v>35</v>
      </c>
      <c r="AF60" s="298"/>
      <c r="AG60" s="299"/>
      <c r="AH60" s="543"/>
      <c r="AI60" s="298"/>
      <c r="AJ60" s="298"/>
      <c r="AK60" s="299"/>
      <c r="AL60" s="298">
        <v>85</v>
      </c>
      <c r="AM60" s="299"/>
      <c r="AN60" s="535"/>
    </row>
    <row r="61" spans="1:40" s="105" customFormat="1" x14ac:dyDescent="0.25">
      <c r="A61"/>
      <c r="B61" s="106"/>
      <c r="C61" s="106"/>
      <c r="D61" s="106"/>
      <c r="E61" s="106"/>
      <c r="F61" s="106"/>
      <c r="G61" s="106"/>
      <c r="H61" s="106"/>
      <c r="I61" s="106"/>
      <c r="J61" s="106"/>
      <c r="K61" s="106"/>
      <c r="L61" s="106"/>
      <c r="M61" s="106"/>
      <c r="N61" s="106"/>
      <c r="O61"/>
      <c r="P61"/>
      <c r="Q61" s="535"/>
      <c r="R61" s="542"/>
      <c r="S61" s="301"/>
      <c r="T61" s="301"/>
      <c r="U61" s="540">
        <v>18</v>
      </c>
      <c r="V61" s="529" t="s">
        <v>278</v>
      </c>
      <c r="W61" s="528">
        <f t="shared" si="30"/>
        <v>-40</v>
      </c>
      <c r="X61" s="528">
        <f t="shared" si="31"/>
        <v>95</v>
      </c>
      <c r="Y61" s="540">
        <v>18</v>
      </c>
      <c r="Z61" s="529" t="s">
        <v>277</v>
      </c>
      <c r="AA61" s="528">
        <f t="shared" si="32"/>
        <v>-45</v>
      </c>
      <c r="AB61" s="528">
        <f t="shared" si="33"/>
        <v>90</v>
      </c>
      <c r="AC61" s="540"/>
      <c r="AD61" s="528" t="s">
        <v>38</v>
      </c>
      <c r="AE61" s="528" t="s">
        <v>37</v>
      </c>
      <c r="AF61" s="298"/>
      <c r="AG61" s="299"/>
      <c r="AH61" s="543"/>
      <c r="AI61" s="298"/>
      <c r="AJ61" s="298"/>
      <c r="AK61" s="299"/>
      <c r="AL61" s="298">
        <v>90</v>
      </c>
      <c r="AM61" s="299"/>
      <c r="AN61" s="535"/>
    </row>
    <row r="62" spans="1:40" s="105" customFormat="1" x14ac:dyDescent="0.25">
      <c r="A62"/>
      <c r="B62" s="106"/>
      <c r="C62" s="106"/>
      <c r="D62" s="106"/>
      <c r="E62" s="106"/>
      <c r="F62" s="106"/>
      <c r="G62" s="106"/>
      <c r="H62" s="106"/>
      <c r="I62" s="106"/>
      <c r="J62" s="106"/>
      <c r="K62" s="106"/>
      <c r="L62" s="106"/>
      <c r="M62" s="106"/>
      <c r="N62" s="106"/>
      <c r="O62"/>
      <c r="P62"/>
      <c r="Q62" s="535"/>
      <c r="R62" s="542"/>
      <c r="S62" s="301"/>
      <c r="T62" s="301"/>
      <c r="U62" s="540">
        <v>19</v>
      </c>
      <c r="V62" s="529" t="s">
        <v>276</v>
      </c>
      <c r="W62" s="528">
        <f t="shared" si="30"/>
        <v>-45</v>
      </c>
      <c r="X62" s="528">
        <f t="shared" si="31"/>
        <v>100</v>
      </c>
      <c r="Y62" s="540">
        <v>19</v>
      </c>
      <c r="Z62" s="529" t="s">
        <v>275</v>
      </c>
      <c r="AA62" s="528">
        <f t="shared" si="32"/>
        <v>-50</v>
      </c>
      <c r="AB62" s="528">
        <f t="shared" si="33"/>
        <v>95</v>
      </c>
      <c r="AC62" s="540"/>
      <c r="AD62" s="528" t="s">
        <v>40</v>
      </c>
      <c r="AE62" s="528" t="s">
        <v>39</v>
      </c>
      <c r="AF62" s="298"/>
      <c r="AG62" s="299"/>
      <c r="AH62" s="543"/>
      <c r="AI62" s="298"/>
      <c r="AJ62" s="298"/>
      <c r="AK62" s="299"/>
      <c r="AL62" s="298">
        <v>95</v>
      </c>
      <c r="AM62" s="299"/>
      <c r="AN62" s="535"/>
    </row>
    <row r="63" spans="1:40" s="105" customFormat="1" x14ac:dyDescent="0.25">
      <c r="A63"/>
      <c r="B63" s="106"/>
      <c r="C63" s="106"/>
      <c r="D63" s="106"/>
      <c r="E63" s="106"/>
      <c r="F63" s="106"/>
      <c r="G63" s="106"/>
      <c r="H63" s="106"/>
      <c r="I63" s="106"/>
      <c r="J63" s="106"/>
      <c r="K63" s="106"/>
      <c r="L63" s="106"/>
      <c r="M63" s="106"/>
      <c r="N63" s="106"/>
      <c r="O63"/>
      <c r="P63"/>
      <c r="Q63" s="535"/>
      <c r="R63" s="542"/>
      <c r="S63" s="301"/>
      <c r="T63" s="301"/>
      <c r="U63" s="540"/>
      <c r="V63" s="542"/>
      <c r="W63" s="540"/>
      <c r="X63" s="540"/>
      <c r="Y63" s="540"/>
      <c r="Z63" s="542"/>
      <c r="AA63" s="301"/>
      <c r="AB63" s="301"/>
      <c r="AC63" s="540"/>
      <c r="AD63" s="528" t="s">
        <v>44</v>
      </c>
      <c r="AE63" s="528" t="s">
        <v>43</v>
      </c>
      <c r="AF63" s="298"/>
      <c r="AG63" s="299"/>
      <c r="AH63" s="543"/>
      <c r="AI63" s="298"/>
      <c r="AJ63" s="298"/>
      <c r="AK63" s="299"/>
      <c r="AL63" s="298">
        <v>100</v>
      </c>
      <c r="AM63" s="299"/>
      <c r="AN63" s="535"/>
    </row>
    <row r="64" spans="1:40" s="105" customFormat="1" x14ac:dyDescent="0.25">
      <c r="A64"/>
      <c r="B64" s="106"/>
      <c r="C64" s="106"/>
      <c r="D64" s="106"/>
      <c r="E64" s="106"/>
      <c r="F64" s="106"/>
      <c r="G64" s="106"/>
      <c r="H64" s="106"/>
      <c r="I64" s="106"/>
      <c r="J64" s="106"/>
      <c r="K64" s="106"/>
      <c r="L64" s="106"/>
      <c r="M64" s="106"/>
      <c r="N64" s="106"/>
      <c r="O64"/>
      <c r="P64"/>
      <c r="Q64" s="535"/>
      <c r="R64" s="743" t="s">
        <v>326</v>
      </c>
      <c r="S64" s="743"/>
      <c r="T64" s="743"/>
      <c r="U64" s="540"/>
      <c r="V64" s="743" t="s">
        <v>326</v>
      </c>
      <c r="W64" s="743"/>
      <c r="X64" s="743"/>
      <c r="Y64" s="540"/>
      <c r="Z64" s="743" t="s">
        <v>326</v>
      </c>
      <c r="AA64" s="743"/>
      <c r="AB64" s="743"/>
      <c r="AC64" s="540"/>
      <c r="AD64" s="528" t="s">
        <v>42</v>
      </c>
      <c r="AE64" s="528" t="s">
        <v>41</v>
      </c>
      <c r="AF64" s="298"/>
      <c r="AG64" s="299"/>
      <c r="AH64" s="543"/>
      <c r="AI64" s="298"/>
      <c r="AJ64" s="298"/>
      <c r="AK64" s="299"/>
      <c r="AL64" s="298">
        <v>105</v>
      </c>
      <c r="AM64" s="299"/>
      <c r="AN64" s="535"/>
    </row>
    <row r="65" spans="1:40" s="105" customFormat="1" x14ac:dyDescent="0.25">
      <c r="A65"/>
      <c r="B65" s="106"/>
      <c r="C65" s="106"/>
      <c r="D65" s="106"/>
      <c r="E65" s="106"/>
      <c r="F65" s="106"/>
      <c r="G65" s="106"/>
      <c r="H65" s="106"/>
      <c r="I65" s="106"/>
      <c r="J65" s="106"/>
      <c r="K65" s="106"/>
      <c r="L65" s="106"/>
      <c r="M65" s="106"/>
      <c r="N65" s="106"/>
      <c r="O65"/>
      <c r="P65"/>
      <c r="Q65" s="535"/>
      <c r="R65" s="527" t="s">
        <v>325</v>
      </c>
      <c r="S65" s="528" t="s">
        <v>272</v>
      </c>
      <c r="T65" s="528" t="s">
        <v>271</v>
      </c>
      <c r="U65" s="540"/>
      <c r="V65" s="527" t="s">
        <v>324</v>
      </c>
      <c r="W65" s="528" t="s">
        <v>272</v>
      </c>
      <c r="X65" s="528" t="s">
        <v>271</v>
      </c>
      <c r="Y65" s="540"/>
      <c r="Z65" s="527" t="s">
        <v>323</v>
      </c>
      <c r="AA65" s="528" t="s">
        <v>272</v>
      </c>
      <c r="AB65" s="528" t="s">
        <v>271</v>
      </c>
      <c r="AC65" s="540"/>
      <c r="AD65" s="528" t="s">
        <v>46</v>
      </c>
      <c r="AE65" s="528" t="s">
        <v>45</v>
      </c>
      <c r="AF65" s="298"/>
      <c r="AG65" s="299"/>
      <c r="AH65" s="543"/>
      <c r="AI65" s="298"/>
      <c r="AJ65" s="298"/>
      <c r="AK65" s="299"/>
      <c r="AL65" s="298">
        <v>110</v>
      </c>
      <c r="AM65" s="299"/>
      <c r="AN65" s="535"/>
    </row>
    <row r="66" spans="1:40" s="105" customFormat="1" x14ac:dyDescent="0.25">
      <c r="A66"/>
      <c r="B66" s="106"/>
      <c r="C66" s="106"/>
      <c r="D66" s="106"/>
      <c r="E66" s="106"/>
      <c r="F66" s="106"/>
      <c r="G66" s="106"/>
      <c r="H66" s="106"/>
      <c r="I66" s="106"/>
      <c r="J66" s="106"/>
      <c r="K66" s="106"/>
      <c r="L66" s="106"/>
      <c r="M66" s="106"/>
      <c r="N66" s="106"/>
      <c r="O66"/>
      <c r="P66"/>
      <c r="Q66" s="535"/>
      <c r="R66" s="529" t="s">
        <v>322</v>
      </c>
      <c r="S66" s="528">
        <v>30</v>
      </c>
      <c r="T66" s="528">
        <v>25</v>
      </c>
      <c r="U66" s="540">
        <v>1</v>
      </c>
      <c r="V66" s="529" t="s">
        <v>321</v>
      </c>
      <c r="W66" s="528">
        <f t="shared" ref="W66:W84" si="36">(55-((U66-1)*5))</f>
        <v>55</v>
      </c>
      <c r="X66" s="528">
        <f t="shared" ref="X66:X84" si="37">(0+((U66-1)*5))</f>
        <v>0</v>
      </c>
      <c r="Y66" s="540">
        <v>1</v>
      </c>
      <c r="Z66" s="529" t="s">
        <v>320</v>
      </c>
      <c r="AA66" s="528">
        <f t="shared" ref="AA66:AA84" si="38">(50-((Y66-1)*5))</f>
        <v>50</v>
      </c>
      <c r="AB66" s="528">
        <f t="shared" ref="AB66:AB84" si="39">(5+((Y66-1)*5))</f>
        <v>5</v>
      </c>
      <c r="AC66" s="540"/>
      <c r="AD66" s="528" t="s">
        <v>48</v>
      </c>
      <c r="AE66" s="528" t="s">
        <v>47</v>
      </c>
      <c r="AF66" s="298"/>
      <c r="AG66" s="299"/>
      <c r="AH66" s="543"/>
      <c r="AI66" s="298"/>
      <c r="AJ66" s="298"/>
      <c r="AK66" s="299"/>
      <c r="AL66" s="298">
        <v>115</v>
      </c>
      <c r="AM66" s="299"/>
      <c r="AN66" s="535"/>
    </row>
    <row r="67" spans="1:40" s="105" customFormat="1" x14ac:dyDescent="0.25">
      <c r="A67"/>
      <c r="B67" s="106"/>
      <c r="C67" s="106"/>
      <c r="D67" s="106"/>
      <c r="E67" s="106"/>
      <c r="F67" s="106"/>
      <c r="G67" s="106"/>
      <c r="H67" s="106"/>
      <c r="I67" s="106"/>
      <c r="J67" s="106"/>
      <c r="K67" s="106"/>
      <c r="L67" s="106"/>
      <c r="M67" s="106"/>
      <c r="N67" s="106"/>
      <c r="O67"/>
      <c r="P67"/>
      <c r="Q67" s="535"/>
      <c r="R67" s="529" t="s">
        <v>319</v>
      </c>
      <c r="S67" s="528">
        <v>25</v>
      </c>
      <c r="T67" s="528">
        <v>30</v>
      </c>
      <c r="U67" s="540">
        <v>2</v>
      </c>
      <c r="V67" s="529" t="s">
        <v>318</v>
      </c>
      <c r="W67" s="528">
        <f t="shared" si="36"/>
        <v>50</v>
      </c>
      <c r="X67" s="528">
        <f t="shared" si="37"/>
        <v>5</v>
      </c>
      <c r="Y67" s="540">
        <v>2</v>
      </c>
      <c r="Z67" s="529" t="s">
        <v>317</v>
      </c>
      <c r="AA67" s="528">
        <f t="shared" si="38"/>
        <v>45</v>
      </c>
      <c r="AB67" s="528">
        <f t="shared" si="39"/>
        <v>10</v>
      </c>
      <c r="AC67" s="540"/>
      <c r="AD67" s="528" t="s">
        <v>50</v>
      </c>
      <c r="AE67" s="528" t="s">
        <v>49</v>
      </c>
      <c r="AF67" s="298"/>
      <c r="AG67" s="299"/>
      <c r="AH67" s="543"/>
      <c r="AI67" s="298"/>
      <c r="AJ67" s="298"/>
      <c r="AK67" s="299"/>
      <c r="AL67" s="298">
        <v>120</v>
      </c>
      <c r="AM67" s="299"/>
      <c r="AN67" s="535"/>
    </row>
    <row r="68" spans="1:40" s="105" customFormat="1" x14ac:dyDescent="0.25">
      <c r="A68"/>
      <c r="B68" s="106"/>
      <c r="C68" s="106"/>
      <c r="D68" s="106"/>
      <c r="E68" s="106"/>
      <c r="F68" s="106"/>
      <c r="G68" s="106"/>
      <c r="H68" s="106"/>
      <c r="I68" s="106"/>
      <c r="J68" s="106"/>
      <c r="K68" s="106"/>
      <c r="L68" s="106"/>
      <c r="M68" s="106"/>
      <c r="N68" s="106"/>
      <c r="O68"/>
      <c r="P68"/>
      <c r="Q68" s="535"/>
      <c r="R68" s="529" t="s">
        <v>316</v>
      </c>
      <c r="S68" s="528">
        <v>10</v>
      </c>
      <c r="T68" s="528">
        <v>35</v>
      </c>
      <c r="U68" s="540">
        <v>3</v>
      </c>
      <c r="V68" s="529" t="s">
        <v>315</v>
      </c>
      <c r="W68" s="528">
        <f t="shared" si="36"/>
        <v>45</v>
      </c>
      <c r="X68" s="528">
        <f t="shared" si="37"/>
        <v>10</v>
      </c>
      <c r="Y68" s="540">
        <v>3</v>
      </c>
      <c r="Z68" s="529" t="s">
        <v>314</v>
      </c>
      <c r="AA68" s="528">
        <f t="shared" si="38"/>
        <v>40</v>
      </c>
      <c r="AB68" s="528">
        <f t="shared" si="39"/>
        <v>15</v>
      </c>
      <c r="AC68" s="540"/>
      <c r="AD68" s="528" t="s">
        <v>52</v>
      </c>
      <c r="AE68" s="528" t="s">
        <v>51</v>
      </c>
      <c r="AF68" s="298"/>
      <c r="AG68" s="299"/>
      <c r="AH68" s="543"/>
      <c r="AI68" s="298"/>
      <c r="AJ68" s="298"/>
      <c r="AK68" s="299"/>
      <c r="AL68" s="298">
        <v>125</v>
      </c>
      <c r="AM68" s="299"/>
      <c r="AN68" s="535"/>
    </row>
    <row r="69" spans="1:40" s="105" customFormat="1" x14ac:dyDescent="0.25">
      <c r="A69"/>
      <c r="B69" s="106"/>
      <c r="C69" s="106"/>
      <c r="D69" s="106"/>
      <c r="E69" s="106"/>
      <c r="F69" s="106"/>
      <c r="G69" s="106"/>
      <c r="H69" s="106"/>
      <c r="I69" s="106"/>
      <c r="J69" s="106"/>
      <c r="K69" s="106"/>
      <c r="L69" s="106"/>
      <c r="M69" s="106"/>
      <c r="N69" s="106"/>
      <c r="O69"/>
      <c r="P69"/>
      <c r="Q69" s="535"/>
      <c r="R69" s="529" t="s">
        <v>313</v>
      </c>
      <c r="S69" s="528">
        <v>5</v>
      </c>
      <c r="T69" s="528">
        <v>40</v>
      </c>
      <c r="U69" s="540">
        <v>4</v>
      </c>
      <c r="V69" s="529" t="s">
        <v>312</v>
      </c>
      <c r="W69" s="528">
        <f t="shared" si="36"/>
        <v>40</v>
      </c>
      <c r="X69" s="528">
        <f t="shared" si="37"/>
        <v>15</v>
      </c>
      <c r="Y69" s="540">
        <v>4</v>
      </c>
      <c r="Z69" s="529" t="s">
        <v>311</v>
      </c>
      <c r="AA69" s="528">
        <f t="shared" si="38"/>
        <v>35</v>
      </c>
      <c r="AB69" s="528">
        <f t="shared" si="39"/>
        <v>20</v>
      </c>
      <c r="AC69" s="540"/>
      <c r="AD69" s="528" t="s">
        <v>53</v>
      </c>
      <c r="AE69" s="528" t="s">
        <v>84</v>
      </c>
      <c r="AF69" s="298"/>
      <c r="AG69" s="299"/>
      <c r="AH69" s="543"/>
      <c r="AI69" s="298"/>
      <c r="AJ69" s="298"/>
      <c r="AK69" s="299"/>
      <c r="AL69" s="298">
        <v>130</v>
      </c>
      <c r="AM69" s="299"/>
      <c r="AN69" s="535"/>
    </row>
    <row r="70" spans="1:40" s="105" customFormat="1" x14ac:dyDescent="0.25">
      <c r="A70"/>
      <c r="B70" s="106"/>
      <c r="C70" s="106"/>
      <c r="D70" s="106"/>
      <c r="E70" s="106"/>
      <c r="F70" s="106"/>
      <c r="G70" s="106"/>
      <c r="H70" s="106"/>
      <c r="I70" s="106"/>
      <c r="J70" s="106"/>
      <c r="K70" s="106"/>
      <c r="L70" s="106"/>
      <c r="M70" s="106"/>
      <c r="N70" s="106"/>
      <c r="O70"/>
      <c r="P70"/>
      <c r="Q70" s="535"/>
      <c r="R70" s="529" t="s">
        <v>310</v>
      </c>
      <c r="S70" s="528">
        <v>0</v>
      </c>
      <c r="T70" s="528">
        <v>55</v>
      </c>
      <c r="U70" s="540">
        <v>5</v>
      </c>
      <c r="V70" s="529" t="s">
        <v>309</v>
      </c>
      <c r="W70" s="528">
        <f t="shared" si="36"/>
        <v>35</v>
      </c>
      <c r="X70" s="528">
        <f t="shared" si="37"/>
        <v>20</v>
      </c>
      <c r="Y70" s="540">
        <v>5</v>
      </c>
      <c r="Z70" s="529" t="s">
        <v>308</v>
      </c>
      <c r="AA70" s="528">
        <f t="shared" si="38"/>
        <v>30</v>
      </c>
      <c r="AB70" s="528">
        <f t="shared" si="39"/>
        <v>25</v>
      </c>
      <c r="AC70" s="540"/>
      <c r="AD70" s="528" t="s">
        <v>55</v>
      </c>
      <c r="AE70" s="528" t="s">
        <v>54</v>
      </c>
      <c r="AF70" s="298"/>
      <c r="AG70" s="299"/>
      <c r="AH70" s="543"/>
      <c r="AI70" s="298"/>
      <c r="AJ70" s="298"/>
      <c r="AK70" s="299"/>
      <c r="AL70" s="298">
        <v>135</v>
      </c>
      <c r="AM70" s="299"/>
      <c r="AN70" s="535"/>
    </row>
    <row r="71" spans="1:40" s="105" customFormat="1" x14ac:dyDescent="0.25">
      <c r="A71"/>
      <c r="B71" s="106"/>
      <c r="C71" s="106"/>
      <c r="D71" s="106"/>
      <c r="E71" s="106"/>
      <c r="F71" s="106"/>
      <c r="G71" s="106"/>
      <c r="H71" s="106"/>
      <c r="I71" s="106"/>
      <c r="J71" s="106"/>
      <c r="K71" s="106"/>
      <c r="L71" s="106"/>
      <c r="M71" s="106"/>
      <c r="N71" s="106"/>
      <c r="O71"/>
      <c r="P71"/>
      <c r="Q71" s="535"/>
      <c r="R71" s="529" t="s">
        <v>307</v>
      </c>
      <c r="S71" s="528">
        <v>-10</v>
      </c>
      <c r="T71" s="528">
        <v>65</v>
      </c>
      <c r="U71" s="540">
        <v>6</v>
      </c>
      <c r="V71" s="529" t="s">
        <v>306</v>
      </c>
      <c r="W71" s="528">
        <f t="shared" si="36"/>
        <v>30</v>
      </c>
      <c r="X71" s="528">
        <f t="shared" si="37"/>
        <v>25</v>
      </c>
      <c r="Y71" s="540">
        <v>6</v>
      </c>
      <c r="Z71" s="529" t="s">
        <v>305</v>
      </c>
      <c r="AA71" s="528">
        <f t="shared" si="38"/>
        <v>25</v>
      </c>
      <c r="AB71" s="528">
        <f t="shared" si="39"/>
        <v>30</v>
      </c>
      <c r="AC71" s="540"/>
      <c r="AD71" s="528" t="s">
        <v>57</v>
      </c>
      <c r="AE71" s="528" t="s">
        <v>56</v>
      </c>
      <c r="AF71" s="298"/>
      <c r="AG71" s="299"/>
      <c r="AH71" s="543"/>
      <c r="AI71" s="298"/>
      <c r="AJ71" s="298"/>
      <c r="AK71" s="299"/>
      <c r="AL71" s="298">
        <v>140</v>
      </c>
      <c r="AM71" s="299"/>
      <c r="AN71" s="535"/>
    </row>
    <row r="72" spans="1:40" s="105" customFormat="1" x14ac:dyDescent="0.25">
      <c r="A72"/>
      <c r="B72" s="106"/>
      <c r="C72" s="106"/>
      <c r="D72" s="106"/>
      <c r="E72" s="106"/>
      <c r="F72" s="106"/>
      <c r="G72" s="106"/>
      <c r="H72" s="106"/>
      <c r="I72" s="106"/>
      <c r="J72" s="106"/>
      <c r="K72" s="106"/>
      <c r="L72" s="106"/>
      <c r="M72" s="106"/>
      <c r="N72" s="106"/>
      <c r="O72"/>
      <c r="P72"/>
      <c r="Q72" s="535"/>
      <c r="R72" s="529" t="s">
        <v>304</v>
      </c>
      <c r="S72" s="528">
        <v>-15</v>
      </c>
      <c r="T72" s="528">
        <v>80</v>
      </c>
      <c r="U72" s="540">
        <v>7</v>
      </c>
      <c r="V72" s="529" t="s">
        <v>303</v>
      </c>
      <c r="W72" s="528">
        <f t="shared" si="36"/>
        <v>25</v>
      </c>
      <c r="X72" s="528">
        <f t="shared" si="37"/>
        <v>30</v>
      </c>
      <c r="Y72" s="540">
        <v>7</v>
      </c>
      <c r="Z72" s="529" t="s">
        <v>302</v>
      </c>
      <c r="AA72" s="528">
        <f t="shared" si="38"/>
        <v>20</v>
      </c>
      <c r="AB72" s="528">
        <f t="shared" si="39"/>
        <v>35</v>
      </c>
      <c r="AC72" s="540"/>
      <c r="AD72" s="528" t="s">
        <v>59</v>
      </c>
      <c r="AE72" s="528" t="s">
        <v>58</v>
      </c>
      <c r="AF72" s="298"/>
      <c r="AG72" s="299"/>
      <c r="AH72" s="543"/>
      <c r="AI72" s="298"/>
      <c r="AJ72" s="298"/>
      <c r="AK72" s="299"/>
      <c r="AL72" s="298">
        <v>145</v>
      </c>
      <c r="AM72" s="299"/>
      <c r="AN72" s="535"/>
    </row>
    <row r="73" spans="1:40" s="105" customFormat="1" x14ac:dyDescent="0.25">
      <c r="A73"/>
      <c r="B73" s="106"/>
      <c r="C73" s="106"/>
      <c r="D73" s="106"/>
      <c r="E73" s="106"/>
      <c r="F73" s="106"/>
      <c r="G73" s="106"/>
      <c r="H73" s="106"/>
      <c r="I73" s="106"/>
      <c r="J73" s="106"/>
      <c r="K73" s="106"/>
      <c r="L73" s="106"/>
      <c r="M73" s="106"/>
      <c r="N73" s="106"/>
      <c r="O73"/>
      <c r="P73"/>
      <c r="Q73" s="535"/>
      <c r="R73" s="529" t="s">
        <v>301</v>
      </c>
      <c r="S73" s="528">
        <v>-15</v>
      </c>
      <c r="T73" s="528">
        <v>80</v>
      </c>
      <c r="U73" s="540">
        <v>8</v>
      </c>
      <c r="V73" s="529" t="s">
        <v>300</v>
      </c>
      <c r="W73" s="528">
        <f t="shared" si="36"/>
        <v>20</v>
      </c>
      <c r="X73" s="528">
        <f t="shared" si="37"/>
        <v>35</v>
      </c>
      <c r="Y73" s="540">
        <v>8</v>
      </c>
      <c r="Z73" s="529" t="s">
        <v>299</v>
      </c>
      <c r="AA73" s="528">
        <f t="shared" si="38"/>
        <v>15</v>
      </c>
      <c r="AB73" s="528">
        <f t="shared" si="39"/>
        <v>40</v>
      </c>
      <c r="AC73" s="540"/>
      <c r="AD73" s="528" t="s">
        <v>61</v>
      </c>
      <c r="AE73" s="528" t="s">
        <v>60</v>
      </c>
      <c r="AF73" s="298"/>
      <c r="AG73" s="299"/>
      <c r="AH73" s="543"/>
      <c r="AI73" s="298"/>
      <c r="AJ73" s="298"/>
      <c r="AK73" s="299"/>
      <c r="AL73" s="298">
        <v>150</v>
      </c>
      <c r="AM73" s="299"/>
      <c r="AN73" s="535"/>
    </row>
    <row r="74" spans="1:40" s="105" customFormat="1" x14ac:dyDescent="0.25">
      <c r="A74"/>
      <c r="B74" s="106"/>
      <c r="C74" s="106"/>
      <c r="D74" s="106"/>
      <c r="E74" s="106"/>
      <c r="F74" s="106"/>
      <c r="G74" s="106"/>
      <c r="H74" s="106"/>
      <c r="I74" s="106"/>
      <c r="J74" s="106"/>
      <c r="K74" s="106"/>
      <c r="L74" s="106"/>
      <c r="M74" s="106"/>
      <c r="N74" s="106"/>
      <c r="O74"/>
      <c r="P74"/>
      <c r="Q74" s="535"/>
      <c r="R74" s="529" t="s">
        <v>298</v>
      </c>
      <c r="S74" s="528">
        <v>10</v>
      </c>
      <c r="T74" s="528">
        <v>60</v>
      </c>
      <c r="U74" s="540">
        <v>9</v>
      </c>
      <c r="V74" s="529" t="s">
        <v>297</v>
      </c>
      <c r="W74" s="528">
        <f t="shared" si="36"/>
        <v>15</v>
      </c>
      <c r="X74" s="528">
        <f t="shared" si="37"/>
        <v>40</v>
      </c>
      <c r="Y74" s="540">
        <v>9</v>
      </c>
      <c r="Z74" s="529" t="s">
        <v>296</v>
      </c>
      <c r="AA74" s="528">
        <f t="shared" si="38"/>
        <v>10</v>
      </c>
      <c r="AB74" s="528">
        <f t="shared" si="39"/>
        <v>45</v>
      </c>
      <c r="AC74" s="540"/>
      <c r="AD74" s="528" t="s">
        <v>63</v>
      </c>
      <c r="AE74" s="528" t="s">
        <v>62</v>
      </c>
      <c r="AF74" s="298"/>
      <c r="AG74" s="299"/>
      <c r="AH74" s="543"/>
      <c r="AI74" s="298"/>
      <c r="AJ74" s="298"/>
      <c r="AK74" s="299"/>
      <c r="AL74" s="298">
        <v>155</v>
      </c>
      <c r="AM74" s="299"/>
      <c r="AN74" s="535"/>
    </row>
    <row r="75" spans="1:40" s="105" customFormat="1" x14ac:dyDescent="0.25">
      <c r="A75"/>
      <c r="B75" s="106"/>
      <c r="C75" s="106"/>
      <c r="D75" s="106"/>
      <c r="E75" s="106"/>
      <c r="F75" s="106"/>
      <c r="G75" s="106"/>
      <c r="H75" s="106"/>
      <c r="I75" s="106"/>
      <c r="J75" s="106"/>
      <c r="K75" s="106"/>
      <c r="L75" s="106"/>
      <c r="M75" s="106"/>
      <c r="N75" s="106"/>
      <c r="O75"/>
      <c r="P75"/>
      <c r="Q75" s="535"/>
      <c r="R75" s="529" t="s">
        <v>295</v>
      </c>
      <c r="S75" s="528">
        <v>10</v>
      </c>
      <c r="T75" s="528">
        <v>60</v>
      </c>
      <c r="U75" s="540">
        <v>10</v>
      </c>
      <c r="V75" s="529" t="s">
        <v>294</v>
      </c>
      <c r="W75" s="528">
        <f t="shared" si="36"/>
        <v>10</v>
      </c>
      <c r="X75" s="528">
        <f t="shared" si="37"/>
        <v>45</v>
      </c>
      <c r="Y75" s="540">
        <v>10</v>
      </c>
      <c r="Z75" s="529" t="s">
        <v>293</v>
      </c>
      <c r="AA75" s="528">
        <f t="shared" si="38"/>
        <v>5</v>
      </c>
      <c r="AB75" s="528">
        <f t="shared" si="39"/>
        <v>50</v>
      </c>
      <c r="AC75" s="540"/>
      <c r="AD75" s="528" t="s">
        <v>65</v>
      </c>
      <c r="AE75" s="528" t="s">
        <v>64</v>
      </c>
      <c r="AF75" s="298"/>
      <c r="AG75" s="299"/>
      <c r="AH75" s="543"/>
      <c r="AI75" s="298"/>
      <c r="AJ75" s="298"/>
      <c r="AK75" s="299"/>
      <c r="AL75" s="298">
        <v>160</v>
      </c>
      <c r="AM75" s="299"/>
      <c r="AN75" s="535"/>
    </row>
    <row r="76" spans="1:40" s="105" customFormat="1" x14ac:dyDescent="0.25">
      <c r="A76"/>
      <c r="B76" s="106"/>
      <c r="C76" s="106"/>
      <c r="D76" s="106"/>
      <c r="E76" s="106"/>
      <c r="F76" s="106"/>
      <c r="G76" s="106"/>
      <c r="H76" s="106"/>
      <c r="I76" s="106"/>
      <c r="J76" s="106"/>
      <c r="K76" s="106"/>
      <c r="L76" s="106"/>
      <c r="M76" s="106"/>
      <c r="N76" s="106"/>
      <c r="O76"/>
      <c r="P76"/>
      <c r="Q76" s="535"/>
      <c r="R76" s="542"/>
      <c r="S76" s="301"/>
      <c r="T76" s="301"/>
      <c r="U76" s="540">
        <v>11</v>
      </c>
      <c r="V76" s="529" t="s">
        <v>292</v>
      </c>
      <c r="W76" s="528">
        <f t="shared" si="36"/>
        <v>5</v>
      </c>
      <c r="X76" s="528">
        <f t="shared" si="37"/>
        <v>50</v>
      </c>
      <c r="Y76" s="540">
        <v>11</v>
      </c>
      <c r="Z76" s="529" t="s">
        <v>291</v>
      </c>
      <c r="AA76" s="528">
        <f t="shared" si="38"/>
        <v>0</v>
      </c>
      <c r="AB76" s="528">
        <f t="shared" si="39"/>
        <v>55</v>
      </c>
      <c r="AC76" s="540"/>
      <c r="AD76" s="528" t="s">
        <v>67</v>
      </c>
      <c r="AE76" s="528" t="s">
        <v>66</v>
      </c>
      <c r="AF76" s="298"/>
      <c r="AG76" s="299"/>
      <c r="AH76" s="543"/>
      <c r="AI76" s="298"/>
      <c r="AJ76" s="298"/>
      <c r="AK76" s="299"/>
      <c r="AL76" s="298">
        <v>165</v>
      </c>
      <c r="AM76" s="299"/>
      <c r="AN76" s="535"/>
    </row>
    <row r="77" spans="1:40" s="105" customFormat="1" x14ac:dyDescent="0.25">
      <c r="A77"/>
      <c r="B77" s="106"/>
      <c r="C77" s="106"/>
      <c r="D77" s="106"/>
      <c r="E77" s="106"/>
      <c r="F77" s="106"/>
      <c r="G77" s="106"/>
      <c r="H77" s="106"/>
      <c r="I77" s="106"/>
      <c r="J77" s="106"/>
      <c r="K77" s="106"/>
      <c r="L77" s="106"/>
      <c r="M77" s="106"/>
      <c r="N77" s="106"/>
      <c r="O77"/>
      <c r="P77"/>
      <c r="Q77" s="535"/>
      <c r="R77" s="542"/>
      <c r="S77" s="301"/>
      <c r="T77" s="301"/>
      <c r="U77" s="540">
        <v>12</v>
      </c>
      <c r="V77" s="529" t="s">
        <v>290</v>
      </c>
      <c r="W77" s="528">
        <f t="shared" si="36"/>
        <v>0</v>
      </c>
      <c r="X77" s="528">
        <f t="shared" si="37"/>
        <v>55</v>
      </c>
      <c r="Y77" s="540">
        <v>12</v>
      </c>
      <c r="Z77" s="529" t="s">
        <v>289</v>
      </c>
      <c r="AA77" s="528">
        <f t="shared" si="38"/>
        <v>-5</v>
      </c>
      <c r="AB77" s="528">
        <f t="shared" si="39"/>
        <v>60</v>
      </c>
      <c r="AC77" s="540"/>
      <c r="AD77" s="528" t="s">
        <v>69</v>
      </c>
      <c r="AE77" s="528" t="s">
        <v>68</v>
      </c>
      <c r="AF77" s="298"/>
      <c r="AG77" s="299"/>
      <c r="AH77" s="543"/>
      <c r="AI77" s="298"/>
      <c r="AJ77" s="298"/>
      <c r="AK77" s="299"/>
      <c r="AL77" s="298">
        <v>170</v>
      </c>
      <c r="AM77" s="299"/>
      <c r="AN77" s="535"/>
    </row>
    <row r="78" spans="1:40" s="105" customFormat="1" x14ac:dyDescent="0.25">
      <c r="A78"/>
      <c r="B78" s="106"/>
      <c r="C78" s="106"/>
      <c r="D78" s="106"/>
      <c r="E78" s="106"/>
      <c r="F78" s="106"/>
      <c r="G78" s="106"/>
      <c r="H78" s="106"/>
      <c r="I78" s="106"/>
      <c r="J78" s="106"/>
      <c r="K78" s="106"/>
      <c r="L78" s="106"/>
      <c r="M78" s="106"/>
      <c r="N78" s="106"/>
      <c r="O78"/>
      <c r="P78"/>
      <c r="Q78" s="535"/>
      <c r="R78" s="542"/>
      <c r="S78" s="301"/>
      <c r="T78" s="301"/>
      <c r="U78" s="540">
        <v>13</v>
      </c>
      <c r="V78" s="529" t="s">
        <v>288</v>
      </c>
      <c r="W78" s="528">
        <f t="shared" si="36"/>
        <v>-5</v>
      </c>
      <c r="X78" s="528">
        <f t="shared" si="37"/>
        <v>60</v>
      </c>
      <c r="Y78" s="540">
        <v>13</v>
      </c>
      <c r="Z78" s="529" t="s">
        <v>287</v>
      </c>
      <c r="AA78" s="528">
        <f t="shared" si="38"/>
        <v>-10</v>
      </c>
      <c r="AB78" s="528">
        <f t="shared" si="39"/>
        <v>65</v>
      </c>
      <c r="AC78" s="540"/>
      <c r="AD78" s="528" t="s">
        <v>71</v>
      </c>
      <c r="AE78" s="528" t="s">
        <v>70</v>
      </c>
      <c r="AF78" s="298"/>
      <c r="AG78" s="299"/>
      <c r="AH78" s="543"/>
      <c r="AI78" s="298"/>
      <c r="AJ78" s="298"/>
      <c r="AK78" s="299"/>
      <c r="AL78" s="298">
        <v>175</v>
      </c>
      <c r="AM78" s="299"/>
      <c r="AN78" s="535"/>
    </row>
    <row r="79" spans="1:40" s="105" customFormat="1" x14ac:dyDescent="0.25">
      <c r="A79"/>
      <c r="B79" s="106"/>
      <c r="C79" s="106"/>
      <c r="D79" s="106"/>
      <c r="E79" s="106"/>
      <c r="F79" s="106"/>
      <c r="G79" s="106"/>
      <c r="H79" s="106"/>
      <c r="I79" s="106"/>
      <c r="J79" s="106"/>
      <c r="K79" s="106"/>
      <c r="L79" s="106"/>
      <c r="M79" s="106"/>
      <c r="N79" s="106"/>
      <c r="O79"/>
      <c r="P79"/>
      <c r="Q79" s="535"/>
      <c r="R79" s="542"/>
      <c r="S79" s="301"/>
      <c r="T79" s="301"/>
      <c r="U79" s="540">
        <v>14</v>
      </c>
      <c r="V79" s="529" t="s">
        <v>286</v>
      </c>
      <c r="W79" s="528">
        <f t="shared" si="36"/>
        <v>-10</v>
      </c>
      <c r="X79" s="528">
        <f t="shared" si="37"/>
        <v>65</v>
      </c>
      <c r="Y79" s="540">
        <v>14</v>
      </c>
      <c r="Z79" s="529" t="s">
        <v>285</v>
      </c>
      <c r="AA79" s="528">
        <f t="shared" si="38"/>
        <v>-15</v>
      </c>
      <c r="AB79" s="528">
        <f t="shared" si="39"/>
        <v>70</v>
      </c>
      <c r="AC79" s="540"/>
      <c r="AD79" s="528" t="s">
        <v>73</v>
      </c>
      <c r="AE79" s="528" t="s">
        <v>72</v>
      </c>
      <c r="AF79" s="298"/>
      <c r="AG79" s="299"/>
      <c r="AH79" s="543"/>
      <c r="AI79" s="298"/>
      <c r="AJ79" s="298"/>
      <c r="AK79" s="299"/>
      <c r="AL79" s="298">
        <v>180</v>
      </c>
      <c r="AM79" s="299"/>
      <c r="AN79" s="535"/>
    </row>
    <row r="80" spans="1:40" s="105" customFormat="1" x14ac:dyDescent="0.25">
      <c r="A80"/>
      <c r="B80" s="106"/>
      <c r="C80" s="106"/>
      <c r="D80" s="106"/>
      <c r="E80" s="106"/>
      <c r="F80" s="106"/>
      <c r="G80" s="106"/>
      <c r="H80" s="106"/>
      <c r="I80" s="106"/>
      <c r="J80" s="106"/>
      <c r="K80" s="106"/>
      <c r="L80" s="106"/>
      <c r="M80" s="106"/>
      <c r="N80" s="106"/>
      <c r="O80"/>
      <c r="P80"/>
      <c r="Q80" s="535"/>
      <c r="R80" s="542"/>
      <c r="S80" s="301"/>
      <c r="T80" s="301"/>
      <c r="U80" s="540">
        <v>15</v>
      </c>
      <c r="V80" s="529" t="s">
        <v>284</v>
      </c>
      <c r="W80" s="528">
        <f t="shared" si="36"/>
        <v>-15</v>
      </c>
      <c r="X80" s="528">
        <f t="shared" si="37"/>
        <v>70</v>
      </c>
      <c r="Y80" s="540">
        <v>15</v>
      </c>
      <c r="Z80" s="529" t="s">
        <v>283</v>
      </c>
      <c r="AA80" s="528">
        <f t="shared" si="38"/>
        <v>-20</v>
      </c>
      <c r="AB80" s="528">
        <f t="shared" si="39"/>
        <v>75</v>
      </c>
      <c r="AC80" s="540"/>
      <c r="AD80" s="528" t="s">
        <v>75</v>
      </c>
      <c r="AE80" s="528" t="s">
        <v>74</v>
      </c>
      <c r="AF80" s="298"/>
      <c r="AG80" s="299"/>
      <c r="AH80" s="543"/>
      <c r="AI80" s="298"/>
      <c r="AJ80" s="298"/>
      <c r="AK80" s="299"/>
      <c r="AL80" s="298">
        <v>185</v>
      </c>
      <c r="AM80" s="299"/>
      <c r="AN80" s="535"/>
    </row>
    <row r="81" spans="1:40" s="105" customFormat="1" x14ac:dyDescent="0.25">
      <c r="A81"/>
      <c r="B81" s="106"/>
      <c r="C81" s="106"/>
      <c r="D81" s="106"/>
      <c r="E81" s="106"/>
      <c r="F81" s="106"/>
      <c r="G81" s="106"/>
      <c r="H81" s="106"/>
      <c r="I81" s="106"/>
      <c r="J81" s="106"/>
      <c r="K81" s="106"/>
      <c r="L81" s="106"/>
      <c r="M81" s="106"/>
      <c r="N81" s="106"/>
      <c r="O81"/>
      <c r="P81"/>
      <c r="Q81" s="535"/>
      <c r="R81" s="542"/>
      <c r="S81" s="301"/>
      <c r="T81" s="301"/>
      <c r="U81" s="540">
        <v>16</v>
      </c>
      <c r="V81" s="529" t="s">
        <v>282</v>
      </c>
      <c r="W81" s="528">
        <f t="shared" si="36"/>
        <v>-20</v>
      </c>
      <c r="X81" s="528">
        <f t="shared" si="37"/>
        <v>75</v>
      </c>
      <c r="Y81" s="540">
        <v>16</v>
      </c>
      <c r="Z81" s="529" t="s">
        <v>281</v>
      </c>
      <c r="AA81" s="528">
        <f t="shared" si="38"/>
        <v>-25</v>
      </c>
      <c r="AB81" s="528">
        <f t="shared" si="39"/>
        <v>80</v>
      </c>
      <c r="AC81" s="540"/>
      <c r="AD81" s="528" t="s">
        <v>77</v>
      </c>
      <c r="AE81" s="528" t="s">
        <v>76</v>
      </c>
      <c r="AF81" s="298"/>
      <c r="AG81" s="299"/>
      <c r="AH81" s="543"/>
      <c r="AI81" s="298"/>
      <c r="AJ81" s="298"/>
      <c r="AK81" s="299"/>
      <c r="AL81" s="298">
        <v>190</v>
      </c>
      <c r="AM81" s="299"/>
      <c r="AN81" s="535"/>
    </row>
    <row r="82" spans="1:40" s="105" customFormat="1" x14ac:dyDescent="0.25">
      <c r="A82"/>
      <c r="B82" s="106"/>
      <c r="C82" s="106"/>
      <c r="D82" s="106"/>
      <c r="E82" s="106"/>
      <c r="F82" s="106"/>
      <c r="G82" s="106"/>
      <c r="H82" s="106"/>
      <c r="I82" s="106"/>
      <c r="J82" s="106"/>
      <c r="K82" s="106"/>
      <c r="L82" s="106"/>
      <c r="M82" s="106"/>
      <c r="N82" s="106"/>
      <c r="O82"/>
      <c r="P82"/>
      <c r="Q82" s="535"/>
      <c r="R82" s="542"/>
      <c r="S82" s="301"/>
      <c r="T82" s="301"/>
      <c r="U82" s="540">
        <v>17</v>
      </c>
      <c r="V82" s="529" t="s">
        <v>280</v>
      </c>
      <c r="W82" s="528">
        <f t="shared" si="36"/>
        <v>-25</v>
      </c>
      <c r="X82" s="528">
        <f t="shared" si="37"/>
        <v>80</v>
      </c>
      <c r="Y82" s="540">
        <v>17</v>
      </c>
      <c r="Z82" s="529" t="s">
        <v>279</v>
      </c>
      <c r="AA82" s="528">
        <f t="shared" si="38"/>
        <v>-30</v>
      </c>
      <c r="AB82" s="528">
        <f t="shared" si="39"/>
        <v>85</v>
      </c>
      <c r="AC82" s="540"/>
      <c r="AD82" s="528" t="s">
        <v>79</v>
      </c>
      <c r="AE82" s="528" t="s">
        <v>78</v>
      </c>
      <c r="AF82" s="298"/>
      <c r="AG82" s="299"/>
      <c r="AH82" s="543"/>
      <c r="AI82" s="298"/>
      <c r="AJ82" s="298"/>
      <c r="AK82" s="299"/>
      <c r="AL82" s="298">
        <v>195</v>
      </c>
      <c r="AM82" s="299"/>
      <c r="AN82" s="535"/>
    </row>
    <row r="83" spans="1:40" s="105" customFormat="1" x14ac:dyDescent="0.25">
      <c r="A83"/>
      <c r="B83" s="106"/>
      <c r="C83" s="106"/>
      <c r="D83" s="106"/>
      <c r="E83" s="106"/>
      <c r="F83" s="106"/>
      <c r="G83" s="106"/>
      <c r="H83" s="106"/>
      <c r="I83" s="106"/>
      <c r="J83" s="106"/>
      <c r="K83" s="106"/>
      <c r="L83" s="106"/>
      <c r="M83" s="106"/>
      <c r="N83" s="106"/>
      <c r="O83"/>
      <c r="P83"/>
      <c r="Q83" s="535"/>
      <c r="R83" s="542"/>
      <c r="S83" s="301"/>
      <c r="T83" s="301"/>
      <c r="U83" s="540">
        <v>18</v>
      </c>
      <c r="V83" s="529" t="s">
        <v>278</v>
      </c>
      <c r="W83" s="528">
        <f t="shared" si="36"/>
        <v>-30</v>
      </c>
      <c r="X83" s="528">
        <f t="shared" si="37"/>
        <v>85</v>
      </c>
      <c r="Y83" s="540">
        <v>18</v>
      </c>
      <c r="Z83" s="529" t="s">
        <v>277</v>
      </c>
      <c r="AA83" s="528">
        <f t="shared" si="38"/>
        <v>-35</v>
      </c>
      <c r="AB83" s="528">
        <f t="shared" si="39"/>
        <v>90</v>
      </c>
      <c r="AC83" s="540"/>
      <c r="AD83" s="528" t="s">
        <v>81</v>
      </c>
      <c r="AE83" s="528" t="s">
        <v>80</v>
      </c>
      <c r="AF83" s="298"/>
      <c r="AG83" s="299"/>
      <c r="AH83" s="543"/>
      <c r="AI83" s="298"/>
      <c r="AJ83" s="298"/>
      <c r="AK83" s="299"/>
      <c r="AL83" s="298">
        <v>200</v>
      </c>
      <c r="AM83" s="299"/>
      <c r="AN83" s="535"/>
    </row>
    <row r="84" spans="1:40" s="105" customFormat="1" x14ac:dyDescent="0.25">
      <c r="A84"/>
      <c r="B84" s="106"/>
      <c r="C84" s="106"/>
      <c r="D84" s="106"/>
      <c r="E84" s="106"/>
      <c r="F84" s="106"/>
      <c r="G84" s="106"/>
      <c r="H84" s="106"/>
      <c r="I84" s="106"/>
      <c r="J84" s="106"/>
      <c r="K84" s="106"/>
      <c r="L84" s="106"/>
      <c r="M84" s="106"/>
      <c r="N84" s="106"/>
      <c r="O84"/>
      <c r="P84"/>
      <c r="Q84" s="535"/>
      <c r="R84" s="542"/>
      <c r="S84" s="301"/>
      <c r="T84" s="301"/>
      <c r="U84" s="540">
        <v>19</v>
      </c>
      <c r="V84" s="529" t="s">
        <v>276</v>
      </c>
      <c r="W84" s="528">
        <f t="shared" si="36"/>
        <v>-35</v>
      </c>
      <c r="X84" s="528">
        <f t="shared" si="37"/>
        <v>90</v>
      </c>
      <c r="Y84" s="540">
        <v>19</v>
      </c>
      <c r="Z84" s="529" t="s">
        <v>275</v>
      </c>
      <c r="AA84" s="528">
        <f t="shared" si="38"/>
        <v>-40</v>
      </c>
      <c r="AB84" s="528">
        <f t="shared" si="39"/>
        <v>95</v>
      </c>
      <c r="AC84" s="540"/>
      <c r="AD84" s="298"/>
      <c r="AE84" s="298"/>
      <c r="AF84" s="298"/>
      <c r="AG84" s="299"/>
      <c r="AH84" s="543"/>
      <c r="AI84" s="298"/>
      <c r="AJ84" s="298"/>
      <c r="AK84" s="299"/>
      <c r="AL84" s="298">
        <v>205</v>
      </c>
      <c r="AM84" s="299"/>
      <c r="AN84" s="535"/>
    </row>
    <row r="85" spans="1:40" s="105" customFormat="1" x14ac:dyDescent="0.25">
      <c r="A85"/>
      <c r="B85" s="106"/>
      <c r="C85" s="106"/>
      <c r="D85" s="106"/>
      <c r="E85" s="106"/>
      <c r="F85" s="106"/>
      <c r="G85" s="106"/>
      <c r="H85" s="106"/>
      <c r="I85" s="106"/>
      <c r="J85" s="106"/>
      <c r="K85" s="106"/>
      <c r="L85" s="106"/>
      <c r="M85" s="106"/>
      <c r="N85" s="106"/>
      <c r="O85"/>
      <c r="P85"/>
      <c r="Q85" s="535"/>
      <c r="R85" s="542"/>
      <c r="S85" s="301"/>
      <c r="T85" s="301"/>
      <c r="U85" s="540"/>
      <c r="V85" s="542"/>
      <c r="W85" s="540"/>
      <c r="X85" s="540"/>
      <c r="Y85" s="540"/>
      <c r="Z85" s="542"/>
      <c r="AA85" s="540"/>
      <c r="AB85" s="540"/>
      <c r="AC85" s="540"/>
      <c r="AD85" s="298"/>
      <c r="AE85" s="298"/>
      <c r="AF85" s="298"/>
      <c r="AG85" s="299"/>
      <c r="AH85" s="543"/>
      <c r="AI85" s="298"/>
      <c r="AJ85" s="298"/>
      <c r="AK85" s="299"/>
      <c r="AL85" s="298">
        <v>210</v>
      </c>
      <c r="AM85" s="299"/>
      <c r="AN85" s="535"/>
    </row>
    <row r="86" spans="1:40" s="105" customFormat="1" x14ac:dyDescent="0.25">
      <c r="A86"/>
      <c r="B86" s="106"/>
      <c r="C86" s="106"/>
      <c r="D86" s="106"/>
      <c r="E86" s="106"/>
      <c r="F86" s="106"/>
      <c r="G86" s="106"/>
      <c r="H86" s="106"/>
      <c r="I86" s="106"/>
      <c r="J86" s="106"/>
      <c r="K86" s="106"/>
      <c r="L86" s="106"/>
      <c r="M86" s="106"/>
      <c r="N86" s="106"/>
      <c r="O86"/>
      <c r="P86"/>
      <c r="Q86" s="535"/>
      <c r="R86" s="743" t="s">
        <v>274</v>
      </c>
      <c r="S86" s="743"/>
      <c r="T86" s="743"/>
      <c r="U86" s="540"/>
      <c r="V86" s="743" t="s">
        <v>743</v>
      </c>
      <c r="W86" s="743"/>
      <c r="X86" s="540"/>
      <c r="Y86" s="540"/>
      <c r="Z86" s="542"/>
      <c r="AA86" s="540"/>
      <c r="AB86" s="540"/>
      <c r="AC86" s="540"/>
      <c r="AD86" s="298"/>
      <c r="AE86" s="298"/>
      <c r="AF86" s="298"/>
      <c r="AG86" s="299"/>
      <c r="AH86" s="543"/>
      <c r="AI86" s="298"/>
      <c r="AJ86" s="298"/>
      <c r="AK86" s="299"/>
      <c r="AL86" s="298">
        <v>215</v>
      </c>
      <c r="AM86" s="299"/>
      <c r="AN86" s="535"/>
    </row>
    <row r="87" spans="1:40" s="105" customFormat="1" x14ac:dyDescent="0.25">
      <c r="A87"/>
      <c r="B87" s="106"/>
      <c r="C87" s="106"/>
      <c r="D87" s="106"/>
      <c r="E87" s="106"/>
      <c r="F87" s="106"/>
      <c r="G87" s="106"/>
      <c r="H87" s="106"/>
      <c r="I87" s="106"/>
      <c r="J87" s="106"/>
      <c r="K87" s="106"/>
      <c r="L87" s="106"/>
      <c r="M87" s="106"/>
      <c r="N87" s="106"/>
      <c r="O87"/>
      <c r="P87"/>
      <c r="Q87" s="535"/>
      <c r="R87" s="527" t="s">
        <v>273</v>
      </c>
      <c r="S87" s="528" t="s">
        <v>272</v>
      </c>
      <c r="T87" s="528" t="s">
        <v>271</v>
      </c>
      <c r="U87" s="540"/>
      <c r="V87" s="529" t="str">
        <f>IF($C$2="","",IF($C$2="&lt; Select your Kingdom &gt;","",IF(VLOOKUP($C$2,'Kingdom Traits Matrix'!$D$4:$AK$27,2,FALSE)="●","Acuity","")))</f>
        <v/>
      </c>
      <c r="W87" s="528">
        <f>IF(V87="",0,10)</f>
        <v>0</v>
      </c>
      <c r="X87" s="540" t="str">
        <f>IF(V87="",""," (-10 to chances of Capture)")</f>
        <v/>
      </c>
      <c r="Y87" s="540">
        <f>LEN(X87)</f>
        <v>0</v>
      </c>
      <c r="Z87" s="542"/>
      <c r="AA87" s="540"/>
      <c r="AB87" s="540"/>
      <c r="AC87" s="540"/>
      <c r="AD87" s="298"/>
      <c r="AE87" s="298"/>
      <c r="AF87" s="298"/>
      <c r="AG87" s="299"/>
      <c r="AH87" s="543"/>
      <c r="AI87" s="298"/>
      <c r="AJ87" s="298"/>
      <c r="AK87" s="299"/>
      <c r="AL87" s="298">
        <v>220</v>
      </c>
      <c r="AM87" s="299"/>
      <c r="AN87" s="535"/>
    </row>
    <row r="88" spans="1:40" s="105" customFormat="1" x14ac:dyDescent="0.25">
      <c r="A88"/>
      <c r="B88" s="106"/>
      <c r="C88" s="106"/>
      <c r="D88" s="106"/>
      <c r="E88" s="106"/>
      <c r="F88" s="106"/>
      <c r="G88" s="106"/>
      <c r="H88" s="106"/>
      <c r="I88" s="106"/>
      <c r="J88" s="106"/>
      <c r="K88" s="106"/>
      <c r="L88" s="106"/>
      <c r="M88" s="106"/>
      <c r="N88" s="106"/>
      <c r="O88"/>
      <c r="P88"/>
      <c r="Q88" s="535">
        <v>1</v>
      </c>
      <c r="R88" s="529" t="s">
        <v>270</v>
      </c>
      <c r="S88" s="528">
        <v>90</v>
      </c>
      <c r="T88" s="528">
        <v>-5</v>
      </c>
      <c r="U88" s="540"/>
      <c r="V88" s="529" t="str">
        <f>IF($C$2="","",IF($C$2="&lt; Select your Kingdom &gt;","",IF(VLOOKUP($C$2,'Kingdom Traits Matrix'!$D$4:$AK$27,3,FALSE)="●","Adventurer","")))</f>
        <v/>
      </c>
      <c r="W88" s="528">
        <f>IF(V88="",0,10)</f>
        <v>0</v>
      </c>
      <c r="X88" s="545" t="str">
        <f>IF(V88="",""," (+10 to Rescue attempts)")</f>
        <v/>
      </c>
      <c r="Y88" s="540">
        <f t="shared" ref="Y88:Y90" si="40">LEN(X88)</f>
        <v>0</v>
      </c>
      <c r="Z88" s="542"/>
      <c r="AA88" s="540"/>
      <c r="AB88" s="540"/>
      <c r="AC88" s="540"/>
      <c r="AD88" s="298"/>
      <c r="AE88" s="298"/>
      <c r="AF88" s="298"/>
      <c r="AG88" s="299"/>
      <c r="AH88" s="543"/>
      <c r="AI88" s="298"/>
      <c r="AJ88" s="298"/>
      <c r="AK88" s="299"/>
      <c r="AL88" s="298">
        <v>225</v>
      </c>
      <c r="AM88" s="299"/>
      <c r="AN88" s="535"/>
    </row>
    <row r="89" spans="1:40" s="105" customFormat="1" x14ac:dyDescent="0.25">
      <c r="A89"/>
      <c r="B89" s="106"/>
      <c r="C89" s="106"/>
      <c r="D89" s="106"/>
      <c r="E89" s="106"/>
      <c r="F89" s="106"/>
      <c r="G89" s="106"/>
      <c r="H89" s="106"/>
      <c r="I89" s="106"/>
      <c r="J89" s="106"/>
      <c r="K89" s="106"/>
      <c r="L89" s="106"/>
      <c r="M89" s="106"/>
      <c r="N89" s="106"/>
      <c r="O89"/>
      <c r="P89"/>
      <c r="Q89" s="535">
        <v>2</v>
      </c>
      <c r="R89" s="529" t="s">
        <v>269</v>
      </c>
      <c r="S89" s="528">
        <v>15</v>
      </c>
      <c r="T89" s="528">
        <v>5</v>
      </c>
      <c r="U89" s="540"/>
      <c r="V89" s="529" t="str">
        <f>IF($C$2="","",IF($C$2="&lt; Select your Kingdom &gt;","",IF(VLOOKUP($C$2,'Kingdom Traits Matrix'!$D$4:$AK$27,27,FALSE)="●","Trick of the Trade","")))</f>
        <v/>
      </c>
      <c r="W89" s="528">
        <f>IF(V89="",1,0.75)</f>
        <v>1</v>
      </c>
      <c r="X89" s="540" t="str">
        <f>IF(V89="",""," (-25% Capture)")</f>
        <v/>
      </c>
      <c r="Y89" s="540">
        <f t="shared" ref="Y89" si="41">LEN(X89)</f>
        <v>0</v>
      </c>
      <c r="Z89" s="542"/>
      <c r="AA89" s="540"/>
      <c r="AB89" s="540"/>
      <c r="AC89" s="540"/>
      <c r="AD89" s="298"/>
      <c r="AE89" s="298"/>
      <c r="AF89" s="298"/>
      <c r="AG89" s="299"/>
      <c r="AH89" s="543"/>
      <c r="AI89" s="298"/>
      <c r="AJ89" s="298"/>
      <c r="AK89" s="299"/>
      <c r="AL89" s="298">
        <v>230</v>
      </c>
      <c r="AM89" s="299"/>
      <c r="AN89" s="535"/>
    </row>
    <row r="90" spans="1:40" s="105" customFormat="1" x14ac:dyDescent="0.25">
      <c r="A90"/>
      <c r="B90" s="106"/>
      <c r="C90" s="106"/>
      <c r="D90" s="106"/>
      <c r="E90" s="106"/>
      <c r="F90" s="106"/>
      <c r="G90" s="106"/>
      <c r="H90" s="106"/>
      <c r="I90" s="106"/>
      <c r="J90" s="106"/>
      <c r="K90" s="106"/>
      <c r="L90" s="106"/>
      <c r="M90" s="106"/>
      <c r="N90" s="106"/>
      <c r="O90"/>
      <c r="P90"/>
      <c r="Q90" s="535">
        <v>3</v>
      </c>
      <c r="R90" s="529" t="s">
        <v>268</v>
      </c>
      <c r="S90" s="528">
        <v>10</v>
      </c>
      <c r="T90" s="528">
        <v>20</v>
      </c>
      <c r="U90" s="540"/>
      <c r="V90" s="529" t="str">
        <f>IF($C$2="","",IF($C$2="&lt; Select your Kingdom &gt;","",IF(VLOOKUP($C$2,'Kingdom Traits Matrix'!$D$4:$AK$27,13,FALSE)="●","Heroic","")))</f>
        <v/>
      </c>
      <c r="W90" s="528">
        <f>IF(V90="",0,15)</f>
        <v>0</v>
      </c>
      <c r="X90" s="540" t="str">
        <f>IF(V90="",""," (+15/-15 to Rescue &amp; Kidnap)")</f>
        <v/>
      </c>
      <c r="Y90" s="540">
        <f t="shared" si="40"/>
        <v>0</v>
      </c>
      <c r="Z90" s="542"/>
      <c r="AA90" s="540"/>
      <c r="AB90" s="540"/>
      <c r="AC90" s="540"/>
      <c r="AD90" s="298"/>
      <c r="AE90" s="298"/>
      <c r="AF90" s="298"/>
      <c r="AG90" s="299"/>
      <c r="AH90" s="543"/>
      <c r="AI90" s="298"/>
      <c r="AJ90" s="298"/>
      <c r="AK90" s="299"/>
      <c r="AL90" s="298">
        <v>235</v>
      </c>
      <c r="AM90" s="299"/>
      <c r="AN90" s="535"/>
    </row>
    <row r="91" spans="1:40" s="105" customFormat="1" x14ac:dyDescent="0.25">
      <c r="A91"/>
      <c r="B91" s="106"/>
      <c r="C91" s="106"/>
      <c r="D91" s="106"/>
      <c r="E91" s="106"/>
      <c r="F91" s="106"/>
      <c r="G91" s="106"/>
      <c r="H91" s="106"/>
      <c r="I91" s="106"/>
      <c r="J91" s="106"/>
      <c r="K91" s="106"/>
      <c r="L91" s="106"/>
      <c r="M91" s="106"/>
      <c r="N91" s="106"/>
      <c r="O91"/>
      <c r="P91"/>
      <c r="Q91" s="535">
        <v>4</v>
      </c>
      <c r="R91" s="529" t="s">
        <v>267</v>
      </c>
      <c r="S91" s="528">
        <v>10</v>
      </c>
      <c r="T91" s="528">
        <v>20</v>
      </c>
      <c r="U91" s="540"/>
      <c r="V91" s="529" t="str">
        <f>IF($C$2="","",IF($C$2="&lt; Select your Kingdom &gt;","",IF($X$91&gt;40,IF($W$91=1,"Note: This Kingdom does not have any Traits that affect the odds of covert missions.",CONCATENATE($V$87,$X$87,IF($V$88="","",",  "),$V$88,$X$88,IF($V$89="","",",  "),$V$89,$X$89,IF($V$90="","",",  "),$V$90,$X$90)),IF($W$91=1,"Note: This Kingdom does not have any Traits that affect the odds of covert missions.",CONCATENATE($V$87,$X$87,IF($V$88="","",",  "),$V$88,$X$88,IF($V$89="","",",  "),$V$89,$X$89,IF($V$90="","",",  "),$V$90,$X$90)) &amp; CHAR(10) &amp; "")))</f>
        <v/>
      </c>
      <c r="W91" s="301">
        <f>SUM(W87:W90)</f>
        <v>1</v>
      </c>
      <c r="X91" s="540">
        <f>LEN(IF($W$91=0,"Note: This Kingdom does not have any Traits that affect the odds of covert missions.",CONCATENATE($V$87,$X$87,IF($V$88="","",",  "),$V$88,$X$88,IF($V$89="","",",  "),$V$89,$X$89,IF($V$90="","",",  "),$V$90,$X$90)))</f>
        <v>0</v>
      </c>
      <c r="Y91" s="540"/>
      <c r="Z91" s="542"/>
      <c r="AA91" s="540"/>
      <c r="AB91" s="540"/>
      <c r="AC91" s="540"/>
      <c r="AD91" s="298"/>
      <c r="AE91" s="298"/>
      <c r="AF91" s="298"/>
      <c r="AG91" s="299"/>
      <c r="AH91" s="543"/>
      <c r="AI91" s="298"/>
      <c r="AJ91" s="298"/>
      <c r="AK91" s="299"/>
      <c r="AL91" s="298">
        <v>240</v>
      </c>
      <c r="AM91" s="299"/>
      <c r="AN91" s="535"/>
    </row>
    <row r="92" spans="1:40" s="105" customFormat="1" x14ac:dyDescent="0.25">
      <c r="A92"/>
      <c r="B92" s="106"/>
      <c r="C92" s="106"/>
      <c r="D92" s="106"/>
      <c r="E92" s="106"/>
      <c r="F92" s="106"/>
      <c r="G92" s="106"/>
      <c r="H92" s="106"/>
      <c r="I92" s="106"/>
      <c r="J92" s="106"/>
      <c r="K92" s="106"/>
      <c r="L92" s="106"/>
      <c r="M92" s="106"/>
      <c r="N92" s="106"/>
      <c r="O92"/>
      <c r="P92"/>
      <c r="Q92" s="535">
        <v>5</v>
      </c>
      <c r="R92" s="529" t="s">
        <v>266</v>
      </c>
      <c r="S92" s="528">
        <v>90</v>
      </c>
      <c r="T92" s="528">
        <v>-5</v>
      </c>
      <c r="U92" s="540"/>
      <c r="V92" s="542"/>
      <c r="W92" s="540"/>
      <c r="X92" s="540"/>
      <c r="Y92" s="540"/>
      <c r="Z92" s="542"/>
      <c r="AA92" s="540"/>
      <c r="AB92" s="540"/>
      <c r="AC92" s="540"/>
      <c r="AD92" s="298"/>
      <c r="AE92" s="298"/>
      <c r="AF92" s="298"/>
      <c r="AG92" s="299"/>
      <c r="AH92" s="543"/>
      <c r="AI92" s="298"/>
      <c r="AJ92" s="298"/>
      <c r="AK92" s="299"/>
      <c r="AL92" s="298">
        <v>245</v>
      </c>
      <c r="AM92" s="299"/>
      <c r="AN92" s="535"/>
    </row>
    <row r="93" spans="1:40" s="105" customFormat="1" x14ac:dyDescent="0.25">
      <c r="A93"/>
      <c r="B93" s="106"/>
      <c r="C93" s="106"/>
      <c r="D93" s="106"/>
      <c r="E93" s="106"/>
      <c r="F93" s="106"/>
      <c r="G93" s="106"/>
      <c r="H93" s="106"/>
      <c r="I93" s="106"/>
      <c r="J93" s="106"/>
      <c r="K93" s="106"/>
      <c r="L93" s="106"/>
      <c r="M93" s="106"/>
      <c r="N93" s="106"/>
      <c r="O93"/>
      <c r="P93"/>
      <c r="Q93" s="535">
        <v>6</v>
      </c>
      <c r="R93" s="529" t="s">
        <v>265</v>
      </c>
      <c r="S93" s="528">
        <v>0</v>
      </c>
      <c r="T93" s="528">
        <v>30</v>
      </c>
      <c r="U93" s="540"/>
      <c r="V93" s="542"/>
      <c r="W93" s="540"/>
      <c r="X93" s="540"/>
      <c r="Y93" s="540"/>
      <c r="Z93" s="542"/>
      <c r="AA93" s="540"/>
      <c r="AB93" s="540"/>
      <c r="AC93" s="540"/>
      <c r="AD93" s="298"/>
      <c r="AE93" s="298"/>
      <c r="AF93" s="298"/>
      <c r="AG93" s="299"/>
      <c r="AH93" s="543"/>
      <c r="AI93" s="298"/>
      <c r="AJ93" s="298"/>
      <c r="AK93" s="299"/>
      <c r="AL93" s="298">
        <v>250</v>
      </c>
      <c r="AM93" s="299"/>
      <c r="AN93" s="535"/>
    </row>
    <row r="94" spans="1:40" s="105" customFormat="1" x14ac:dyDescent="0.25">
      <c r="A94"/>
      <c r="B94" s="106"/>
      <c r="C94" s="106"/>
      <c r="D94" s="106"/>
      <c r="E94" s="106"/>
      <c r="F94" s="106"/>
      <c r="G94" s="106"/>
      <c r="H94" s="106"/>
      <c r="I94" s="106"/>
      <c r="J94" s="106"/>
      <c r="K94" s="106"/>
      <c r="L94" s="106"/>
      <c r="M94" s="106"/>
      <c r="N94" s="106"/>
      <c r="O94"/>
      <c r="P94"/>
      <c r="Q94" s="535">
        <v>7</v>
      </c>
      <c r="R94" s="529" t="s">
        <v>264</v>
      </c>
      <c r="S94" s="528">
        <v>5</v>
      </c>
      <c r="T94" s="528">
        <v>25</v>
      </c>
      <c r="U94" s="540"/>
      <c r="V94" s="542"/>
      <c r="W94" s="540"/>
      <c r="X94" s="540"/>
      <c r="Y94" s="540"/>
      <c r="Z94" s="542"/>
      <c r="AA94" s="540"/>
      <c r="AB94" s="540"/>
      <c r="AC94" s="540"/>
      <c r="AD94" s="298"/>
      <c r="AE94" s="298"/>
      <c r="AF94" s="298"/>
      <c r="AG94" s="299"/>
      <c r="AH94" s="543"/>
      <c r="AI94" s="298"/>
      <c r="AJ94" s="298"/>
      <c r="AK94" s="299"/>
      <c r="AL94" s="298">
        <v>255</v>
      </c>
      <c r="AM94" s="299"/>
      <c r="AN94" s="535"/>
    </row>
    <row r="95" spans="1:40" s="105" customFormat="1" x14ac:dyDescent="0.25">
      <c r="A95"/>
      <c r="B95" s="106"/>
      <c r="C95" s="106"/>
      <c r="D95" s="106"/>
      <c r="E95" s="106"/>
      <c r="F95" s="106"/>
      <c r="G95" s="106"/>
      <c r="H95" s="106"/>
      <c r="I95" s="106"/>
      <c r="J95" s="106"/>
      <c r="K95" s="106"/>
      <c r="L95" s="106"/>
      <c r="M95" s="106"/>
      <c r="N95" s="106"/>
      <c r="O95"/>
      <c r="P95"/>
      <c r="Q95" s="535">
        <v>8</v>
      </c>
      <c r="R95" s="529" t="s">
        <v>263</v>
      </c>
      <c r="S95" s="528">
        <v>-20</v>
      </c>
      <c r="T95" s="528">
        <v>25</v>
      </c>
      <c r="U95" s="540"/>
      <c r="V95" s="542"/>
      <c r="W95" s="540"/>
      <c r="X95" s="540"/>
      <c r="Y95" s="540"/>
      <c r="Z95" s="542"/>
      <c r="AA95" s="540"/>
      <c r="AB95" s="540"/>
      <c r="AC95" s="540"/>
      <c r="AD95" s="298"/>
      <c r="AE95" s="298"/>
      <c r="AF95" s="298"/>
      <c r="AG95" s="299"/>
      <c r="AH95" s="543"/>
      <c r="AI95" s="298"/>
      <c r="AJ95" s="298"/>
      <c r="AK95" s="299"/>
      <c r="AL95" s="298">
        <v>260</v>
      </c>
      <c r="AM95" s="299"/>
      <c r="AN95" s="535"/>
    </row>
    <row r="96" spans="1:40" s="105" customFormat="1" x14ac:dyDescent="0.25">
      <c r="A96"/>
      <c r="B96" s="106"/>
      <c r="C96" s="106"/>
      <c r="D96" s="106"/>
      <c r="E96" s="106"/>
      <c r="F96" s="106"/>
      <c r="G96" s="106"/>
      <c r="H96" s="106"/>
      <c r="I96" s="106"/>
      <c r="J96" s="106"/>
      <c r="K96" s="106"/>
      <c r="L96" s="106"/>
      <c r="M96" s="106"/>
      <c r="N96" s="106"/>
      <c r="O96"/>
      <c r="P96"/>
      <c r="Q96" s="535">
        <v>9</v>
      </c>
      <c r="R96" s="529" t="s">
        <v>262</v>
      </c>
      <c r="S96" s="528">
        <v>-30</v>
      </c>
      <c r="T96" s="528">
        <v>35</v>
      </c>
      <c r="U96" s="540"/>
      <c r="V96" s="542"/>
      <c r="W96" s="540"/>
      <c r="X96" s="540"/>
      <c r="Y96" s="540"/>
      <c r="Z96" s="542"/>
      <c r="AA96" s="540"/>
      <c r="AB96" s="540"/>
      <c r="AC96" s="540"/>
      <c r="AD96" s="298"/>
      <c r="AE96" s="298"/>
      <c r="AF96" s="298"/>
      <c r="AG96" s="299"/>
      <c r="AH96" s="543"/>
      <c r="AI96" s="298"/>
      <c r="AJ96" s="298"/>
      <c r="AK96" s="299"/>
      <c r="AL96" s="298">
        <v>265</v>
      </c>
      <c r="AM96" s="299"/>
      <c r="AN96" s="535"/>
    </row>
    <row r="97" spans="1:40" s="105" customFormat="1" x14ac:dyDescent="0.25">
      <c r="A97"/>
      <c r="B97" s="106"/>
      <c r="C97" s="106"/>
      <c r="D97" s="106"/>
      <c r="E97" s="106"/>
      <c r="F97" s="106"/>
      <c r="G97" s="106"/>
      <c r="H97" s="106"/>
      <c r="I97" s="106"/>
      <c r="J97" s="106"/>
      <c r="K97" s="106"/>
      <c r="L97" s="106"/>
      <c r="M97" s="106"/>
      <c r="N97" s="106"/>
      <c r="O97"/>
      <c r="P97"/>
      <c r="Q97" s="535">
        <v>10</v>
      </c>
      <c r="R97" s="529" t="s">
        <v>261</v>
      </c>
      <c r="S97" s="528">
        <v>-45</v>
      </c>
      <c r="T97" s="528">
        <v>50</v>
      </c>
      <c r="U97" s="540"/>
      <c r="V97" s="542"/>
      <c r="W97" s="540"/>
      <c r="X97" s="540"/>
      <c r="Y97" s="540"/>
      <c r="Z97" s="542"/>
      <c r="AA97" s="540"/>
      <c r="AB97" s="540"/>
      <c r="AC97" s="540"/>
      <c r="AD97" s="298"/>
      <c r="AE97" s="298"/>
      <c r="AF97" s="298"/>
      <c r="AG97" s="299"/>
      <c r="AH97" s="543"/>
      <c r="AI97" s="298"/>
      <c r="AJ97" s="298"/>
      <c r="AK97" s="299"/>
      <c r="AL97" s="298">
        <v>270</v>
      </c>
      <c r="AM97" s="299"/>
      <c r="AN97" s="535"/>
    </row>
    <row r="98" spans="1:40" s="105" customFormat="1" x14ac:dyDescent="0.25">
      <c r="A98"/>
      <c r="B98" s="106"/>
      <c r="C98" s="106"/>
      <c r="D98" s="106"/>
      <c r="E98" s="106"/>
      <c r="F98" s="106"/>
      <c r="G98" s="106"/>
      <c r="H98" s="106"/>
      <c r="I98" s="106"/>
      <c r="J98" s="106"/>
      <c r="K98" s="106"/>
      <c r="L98" s="106"/>
      <c r="M98" s="106"/>
      <c r="N98" s="106"/>
      <c r="O98"/>
      <c r="P98"/>
      <c r="Q98" s="535">
        <v>11</v>
      </c>
      <c r="R98" s="529" t="s">
        <v>260</v>
      </c>
      <c r="S98" s="528">
        <v>0</v>
      </c>
      <c r="T98" s="528">
        <v>0</v>
      </c>
      <c r="U98" s="540"/>
      <c r="V98" s="542"/>
      <c r="W98" s="540"/>
      <c r="X98" s="540"/>
      <c r="Y98" s="540"/>
      <c r="Z98" s="542"/>
      <c r="AA98" s="540"/>
      <c r="AB98" s="540"/>
      <c r="AC98" s="540"/>
      <c r="AD98" s="298"/>
      <c r="AE98" s="298"/>
      <c r="AF98" s="298"/>
      <c r="AG98" s="299"/>
      <c r="AH98" s="543"/>
      <c r="AI98" s="298"/>
      <c r="AJ98" s="298"/>
      <c r="AK98" s="299"/>
      <c r="AL98" s="298">
        <v>275</v>
      </c>
      <c r="AM98" s="299"/>
      <c r="AN98" s="535"/>
    </row>
    <row r="99" spans="1:40" s="105" customFormat="1" x14ac:dyDescent="0.25">
      <c r="A99"/>
      <c r="B99" s="106"/>
      <c r="C99" s="106"/>
      <c r="D99" s="106"/>
      <c r="E99" s="106"/>
      <c r="F99" s="106"/>
      <c r="G99" s="106"/>
      <c r="H99" s="106"/>
      <c r="I99" s="106"/>
      <c r="J99" s="106"/>
      <c r="K99" s="106"/>
      <c r="L99" s="106"/>
      <c r="M99" s="106"/>
      <c r="N99" s="106"/>
      <c r="O99"/>
      <c r="P99"/>
      <c r="Q99" s="535">
        <v>12</v>
      </c>
      <c r="R99" s="529" t="s">
        <v>259</v>
      </c>
      <c r="S99" s="528">
        <v>5</v>
      </c>
      <c r="T99" s="528">
        <v>25</v>
      </c>
      <c r="U99" s="540"/>
      <c r="V99" s="542"/>
      <c r="W99" s="540"/>
      <c r="X99" s="540"/>
      <c r="Y99" s="540"/>
      <c r="Z99" s="542"/>
      <c r="AA99" s="540"/>
      <c r="AB99" s="540"/>
      <c r="AC99" s="540"/>
      <c r="AD99" s="298"/>
      <c r="AE99" s="298"/>
      <c r="AF99" s="298"/>
      <c r="AG99" s="299"/>
      <c r="AH99" s="543"/>
      <c r="AI99" s="298"/>
      <c r="AJ99" s="298"/>
      <c r="AK99" s="299"/>
      <c r="AL99" s="298">
        <v>280</v>
      </c>
      <c r="AM99" s="299"/>
      <c r="AN99" s="535"/>
    </row>
    <row r="100" spans="1:40" s="105" customFormat="1" x14ac:dyDescent="0.25">
      <c r="A100"/>
      <c r="B100" s="106"/>
      <c r="C100" s="106"/>
      <c r="D100" s="106"/>
      <c r="E100" s="106"/>
      <c r="F100" s="106"/>
      <c r="G100" s="106"/>
      <c r="H100" s="106"/>
      <c r="I100" s="106"/>
      <c r="J100" s="106"/>
      <c r="K100" s="106"/>
      <c r="L100" s="106"/>
      <c r="M100" s="106"/>
      <c r="N100" s="106"/>
      <c r="O100"/>
      <c r="P100"/>
      <c r="Q100" s="535">
        <v>13</v>
      </c>
      <c r="R100" s="529" t="s">
        <v>258</v>
      </c>
      <c r="S100" s="528">
        <v>0</v>
      </c>
      <c r="T100" s="528">
        <v>30</v>
      </c>
      <c r="U100" s="540"/>
      <c r="V100" s="542"/>
      <c r="W100" s="540"/>
      <c r="X100" s="540"/>
      <c r="Y100" s="540"/>
      <c r="Z100" s="542"/>
      <c r="AA100" s="540"/>
      <c r="AB100" s="540"/>
      <c r="AC100" s="540"/>
      <c r="AD100" s="298"/>
      <c r="AE100" s="298"/>
      <c r="AF100" s="298"/>
      <c r="AG100" s="299"/>
      <c r="AH100" s="543"/>
      <c r="AI100" s="298"/>
      <c r="AJ100" s="298"/>
      <c r="AK100" s="299"/>
      <c r="AL100" s="298">
        <v>285</v>
      </c>
      <c r="AM100" s="299"/>
      <c r="AN100" s="535"/>
    </row>
    <row r="101" spans="1:40" s="105" customFormat="1" x14ac:dyDescent="0.25">
      <c r="A101"/>
      <c r="B101" s="106"/>
      <c r="C101" s="106"/>
      <c r="D101" s="106"/>
      <c r="E101" s="106"/>
      <c r="F101" s="106"/>
      <c r="G101" s="106"/>
      <c r="H101" s="106"/>
      <c r="I101" s="106"/>
      <c r="J101" s="106"/>
      <c r="K101" s="106"/>
      <c r="L101" s="106"/>
      <c r="M101" s="106"/>
      <c r="N101" s="106"/>
      <c r="O101"/>
      <c r="P101"/>
      <c r="Q101" s="535">
        <v>14</v>
      </c>
      <c r="R101" s="529" t="s">
        <v>257</v>
      </c>
      <c r="S101" s="528">
        <v>-5</v>
      </c>
      <c r="T101" s="528">
        <v>35</v>
      </c>
      <c r="U101" s="540"/>
      <c r="V101" s="542"/>
      <c r="W101" s="540"/>
      <c r="X101" s="540"/>
      <c r="Y101" s="540"/>
      <c r="Z101" s="542"/>
      <c r="AA101" s="540"/>
      <c r="AB101" s="540"/>
      <c r="AC101" s="540"/>
      <c r="AD101" s="298"/>
      <c r="AE101" s="298"/>
      <c r="AF101" s="298"/>
      <c r="AG101" s="299"/>
      <c r="AH101" s="543"/>
      <c r="AI101" s="298"/>
      <c r="AJ101" s="298"/>
      <c r="AK101" s="299"/>
      <c r="AL101" s="298">
        <v>290</v>
      </c>
      <c r="AM101" s="299"/>
      <c r="AN101" s="535"/>
    </row>
    <row r="102" spans="1:40" s="105" customFormat="1" x14ac:dyDescent="0.25">
      <c r="A102"/>
      <c r="B102" s="106"/>
      <c r="C102" s="106"/>
      <c r="D102" s="106"/>
      <c r="E102" s="106"/>
      <c r="F102" s="106"/>
      <c r="G102" s="106"/>
      <c r="H102" s="106"/>
      <c r="I102" s="106"/>
      <c r="J102" s="106"/>
      <c r="K102" s="106"/>
      <c r="L102" s="106"/>
      <c r="M102" s="106"/>
      <c r="N102" s="106"/>
      <c r="O102"/>
      <c r="P102"/>
      <c r="Q102" s="535">
        <v>15</v>
      </c>
      <c r="R102" s="529" t="s">
        <v>256</v>
      </c>
      <c r="S102" s="528">
        <v>-10</v>
      </c>
      <c r="T102" s="528">
        <v>40</v>
      </c>
      <c r="U102" s="540"/>
      <c r="V102" s="542"/>
      <c r="W102" s="540"/>
      <c r="X102" s="540"/>
      <c r="Y102" s="540"/>
      <c r="Z102" s="542"/>
      <c r="AA102" s="540"/>
      <c r="AB102" s="540"/>
      <c r="AC102" s="540"/>
      <c r="AD102" s="298"/>
      <c r="AE102" s="298"/>
      <c r="AF102" s="298"/>
      <c r="AG102" s="299"/>
      <c r="AH102" s="543"/>
      <c r="AI102" s="298"/>
      <c r="AJ102" s="298"/>
      <c r="AK102" s="299"/>
      <c r="AL102" s="298">
        <v>295</v>
      </c>
      <c r="AM102" s="299"/>
      <c r="AN102" s="535"/>
    </row>
    <row r="103" spans="1:40" s="105" customFormat="1" x14ac:dyDescent="0.25">
      <c r="A103"/>
      <c r="B103" s="106"/>
      <c r="C103" s="106"/>
      <c r="D103" s="106"/>
      <c r="E103" s="106"/>
      <c r="F103" s="106"/>
      <c r="G103" s="106"/>
      <c r="H103" s="106"/>
      <c r="I103" s="106"/>
      <c r="J103" s="106"/>
      <c r="K103" s="106"/>
      <c r="L103" s="106"/>
      <c r="M103" s="106"/>
      <c r="N103" s="106"/>
      <c r="O103"/>
      <c r="P103"/>
      <c r="Q103" s="535">
        <v>16</v>
      </c>
      <c r="R103" s="529" t="s">
        <v>255</v>
      </c>
      <c r="S103" s="528">
        <v>-15</v>
      </c>
      <c r="T103" s="528">
        <v>45</v>
      </c>
      <c r="U103" s="540"/>
      <c r="V103" s="542"/>
      <c r="W103" s="540"/>
      <c r="X103" s="540"/>
      <c r="Y103" s="540"/>
      <c r="Z103" s="542"/>
      <c r="AA103" s="540"/>
      <c r="AB103" s="540"/>
      <c r="AC103" s="540"/>
      <c r="AD103" s="298"/>
      <c r="AE103" s="298"/>
      <c r="AF103" s="298"/>
      <c r="AG103" s="299"/>
      <c r="AH103" s="543"/>
      <c r="AI103" s="298"/>
      <c r="AJ103" s="298"/>
      <c r="AK103" s="299"/>
      <c r="AL103" s="298">
        <v>300</v>
      </c>
      <c r="AM103" s="299"/>
      <c r="AN103" s="535"/>
    </row>
    <row r="104" spans="1:40" s="105" customFormat="1" x14ac:dyDescent="0.25">
      <c r="A104"/>
      <c r="B104" s="106"/>
      <c r="C104" s="106"/>
      <c r="D104" s="106"/>
      <c r="E104" s="106"/>
      <c r="F104" s="106"/>
      <c r="G104" s="106"/>
      <c r="H104" s="106"/>
      <c r="I104" s="106"/>
      <c r="J104" s="106"/>
      <c r="K104" s="106"/>
      <c r="L104" s="106"/>
      <c r="M104" s="106"/>
      <c r="N104" s="106"/>
      <c r="O104"/>
      <c r="P104"/>
      <c r="Q104" s="535">
        <v>17</v>
      </c>
      <c r="R104" s="529" t="s">
        <v>254</v>
      </c>
      <c r="S104" s="528">
        <v>-20</v>
      </c>
      <c r="T104" s="528">
        <v>50</v>
      </c>
      <c r="U104" s="540"/>
      <c r="V104" s="542"/>
      <c r="W104" s="540"/>
      <c r="X104" s="540"/>
      <c r="Y104" s="540"/>
      <c r="Z104" s="542"/>
      <c r="AA104" s="540"/>
      <c r="AB104" s="540"/>
      <c r="AC104" s="540"/>
      <c r="AD104" s="298"/>
      <c r="AE104" s="298"/>
      <c r="AF104" s="298"/>
      <c r="AG104" s="299"/>
      <c r="AH104" s="543"/>
      <c r="AI104" s="298"/>
      <c r="AJ104" s="298"/>
      <c r="AK104" s="299"/>
      <c r="AL104" s="298"/>
      <c r="AM104" s="299"/>
      <c r="AN104" s="535"/>
    </row>
    <row r="105" spans="1:40" s="105" customFormat="1" x14ac:dyDescent="0.25">
      <c r="A105"/>
      <c r="B105" s="106"/>
      <c r="C105" s="106"/>
      <c r="D105" s="106"/>
      <c r="E105" s="106"/>
      <c r="F105" s="106"/>
      <c r="G105" s="106"/>
      <c r="H105" s="106"/>
      <c r="I105" s="106"/>
      <c r="J105" s="106"/>
      <c r="K105" s="106"/>
      <c r="L105" s="106"/>
      <c r="M105" s="106"/>
      <c r="N105" s="106"/>
      <c r="O105"/>
      <c r="P105"/>
      <c r="Q105" s="535"/>
      <c r="R105" s="546"/>
      <c r="S105" s="534"/>
      <c r="T105" s="534"/>
      <c r="U105" s="539"/>
      <c r="V105" s="542"/>
      <c r="W105" s="540"/>
      <c r="X105" s="540"/>
      <c r="Y105" s="540"/>
      <c r="Z105" s="546"/>
      <c r="AA105" s="539"/>
      <c r="AB105" s="539"/>
      <c r="AC105" s="539"/>
      <c r="AD105" s="531"/>
      <c r="AE105" s="531"/>
      <c r="AF105" s="531"/>
      <c r="AG105" s="535"/>
      <c r="AH105" s="547"/>
      <c r="AI105" s="531"/>
      <c r="AJ105" s="531"/>
      <c r="AK105" s="535"/>
      <c r="AL105" s="531"/>
      <c r="AM105" s="535"/>
      <c r="AN105" s="535"/>
    </row>
    <row r="106" spans="1:40" x14ac:dyDescent="0.25">
      <c r="R106" s="549"/>
      <c r="S106" s="549"/>
      <c r="V106" s="546"/>
      <c r="W106" s="539"/>
      <c r="X106" s="539"/>
      <c r="Y106" s="539"/>
      <c r="AA106" s="548"/>
      <c r="AB106" s="548"/>
      <c r="AC106" s="548"/>
      <c r="AD106" s="548"/>
      <c r="AE106" s="548"/>
      <c r="AF106" s="548"/>
      <c r="AG106" s="548"/>
      <c r="AH106" s="548"/>
      <c r="AI106" s="548"/>
      <c r="AJ106" s="548"/>
      <c r="AK106" s="548"/>
      <c r="AL106" s="550"/>
      <c r="AM106" s="548"/>
      <c r="AN106" s="548"/>
    </row>
    <row r="107" spans="1:40" x14ac:dyDescent="0.25">
      <c r="R107" s="549"/>
      <c r="S107" s="549"/>
      <c r="W107" s="548"/>
      <c r="X107" s="551"/>
      <c r="AA107" s="548"/>
      <c r="AB107" s="548"/>
      <c r="AC107" s="548"/>
      <c r="AD107" s="548"/>
      <c r="AE107" s="548"/>
      <c r="AF107" s="548"/>
      <c r="AG107" s="548"/>
      <c r="AH107" s="548"/>
      <c r="AI107" s="548"/>
      <c r="AJ107" s="548"/>
      <c r="AK107" s="548"/>
      <c r="AL107" s="550"/>
      <c r="AM107" s="548"/>
      <c r="AN107" s="548"/>
    </row>
    <row r="108" spans="1:40" x14ac:dyDescent="0.25">
      <c r="R108" s="549"/>
      <c r="S108" s="549"/>
      <c r="W108" s="548"/>
      <c r="X108" s="551"/>
      <c r="AA108" s="548"/>
      <c r="AB108" s="548"/>
      <c r="AC108" s="548"/>
      <c r="AD108" s="548"/>
      <c r="AE108" s="548"/>
      <c r="AF108" s="548"/>
      <c r="AG108" s="548"/>
      <c r="AH108" s="548"/>
      <c r="AI108" s="548"/>
      <c r="AJ108" s="548"/>
      <c r="AK108" s="548"/>
      <c r="AL108" s="550"/>
      <c r="AM108" s="548"/>
      <c r="AN108" s="548"/>
    </row>
    <row r="109" spans="1:40" x14ac:dyDescent="0.25">
      <c r="R109" s="549"/>
      <c r="S109" s="549"/>
      <c r="W109" s="548"/>
      <c r="X109" s="551"/>
      <c r="AA109" s="548"/>
      <c r="AB109" s="548"/>
      <c r="AC109" s="548"/>
      <c r="AD109" s="548"/>
      <c r="AE109" s="548"/>
      <c r="AF109" s="548"/>
      <c r="AG109" s="548"/>
      <c r="AH109" s="548"/>
      <c r="AI109" s="548"/>
      <c r="AJ109" s="548"/>
      <c r="AK109" s="548"/>
      <c r="AL109" s="550"/>
      <c r="AM109" s="548"/>
      <c r="AN109" s="548"/>
    </row>
    <row r="110" spans="1:40" x14ac:dyDescent="0.25">
      <c r="R110" s="549"/>
      <c r="S110" s="549"/>
      <c r="W110" s="548"/>
      <c r="X110" s="551"/>
      <c r="AA110" s="548"/>
      <c r="AB110" s="548"/>
      <c r="AC110" s="548"/>
      <c r="AD110" s="548"/>
      <c r="AE110" s="548"/>
      <c r="AF110" s="548"/>
      <c r="AG110" s="548"/>
      <c r="AH110" s="548"/>
      <c r="AI110" s="548"/>
      <c r="AJ110" s="548"/>
      <c r="AK110" s="548"/>
      <c r="AL110" s="550"/>
      <c r="AM110" s="548"/>
      <c r="AN110" s="548"/>
    </row>
    <row r="111" spans="1:40" x14ac:dyDescent="0.25">
      <c r="W111" s="548"/>
      <c r="X111" s="551"/>
    </row>
  </sheetData>
  <sheetProtection password="8D19" sheet="1" objects="1" scenarios="1" selectLockedCells="1"/>
  <mergeCells count="35">
    <mergeCell ref="R86:T86"/>
    <mergeCell ref="Z42:AB42"/>
    <mergeCell ref="AD42:AF42"/>
    <mergeCell ref="AH42:AJ42"/>
    <mergeCell ref="V42:X42"/>
    <mergeCell ref="R64:T64"/>
    <mergeCell ref="V64:X64"/>
    <mergeCell ref="Z64:AB64"/>
    <mergeCell ref="V86:W86"/>
    <mergeCell ref="R41:AJ41"/>
    <mergeCell ref="D2:H2"/>
    <mergeCell ref="E19:N19"/>
    <mergeCell ref="R42:T42"/>
    <mergeCell ref="E9:N9"/>
    <mergeCell ref="E10:N10"/>
    <mergeCell ref="D3:H3"/>
    <mergeCell ref="E4:H5"/>
    <mergeCell ref="E6:H7"/>
    <mergeCell ref="B4:D4"/>
    <mergeCell ref="B5:D7"/>
    <mergeCell ref="B37:N39"/>
    <mergeCell ref="B36:N36"/>
    <mergeCell ref="B33:N34"/>
    <mergeCell ref="B1:N1"/>
    <mergeCell ref="B26:N27"/>
    <mergeCell ref="B29:D31"/>
    <mergeCell ref="E29:N29"/>
    <mergeCell ref="E30:N30"/>
    <mergeCell ref="B9:D11"/>
    <mergeCell ref="B15:N16"/>
    <mergeCell ref="B18:D20"/>
    <mergeCell ref="E18:N18"/>
    <mergeCell ref="I2:L2"/>
    <mergeCell ref="M2:N2"/>
    <mergeCell ref="I3:N7"/>
  </mergeCells>
  <conditionalFormatting sqref="C12">
    <cfRule type="containsBlanks" dxfId="35" priority="36" stopIfTrue="1">
      <formula>LEN(TRIM(C12))=0</formula>
    </cfRule>
    <cfRule type="cellIs" dxfId="34" priority="37" stopIfTrue="1" operator="equal">
      <formula>"&lt; Kidnap Character &gt;"</formula>
    </cfRule>
  </conditionalFormatting>
  <conditionalFormatting sqref="C13">
    <cfRule type="containsBlanks" dxfId="33" priority="35" stopIfTrue="1">
      <formula>LEN(TRIM(C13))=0</formula>
    </cfRule>
    <cfRule type="cellIs" dxfId="32" priority="38" stopIfTrue="1" operator="equal">
      <formula>"&lt; Kidnap Agent &gt;"</formula>
    </cfRule>
  </conditionalFormatting>
  <conditionalFormatting sqref="C21">
    <cfRule type="cellIs" dxfId="31" priority="33" stopIfTrue="1" operator="equal">
      <formula>"&lt; Assassinate Character &gt;"</formula>
    </cfRule>
    <cfRule type="containsBlanks" dxfId="30" priority="34" stopIfTrue="1">
      <formula>LEN(TRIM(C21))=0</formula>
    </cfRule>
  </conditionalFormatting>
  <conditionalFormatting sqref="C22">
    <cfRule type="cellIs" dxfId="29" priority="29" stopIfTrue="1" operator="equal">
      <formula>"&lt; Assassinate Agent &gt;"</formula>
    </cfRule>
    <cfRule type="containsBlanks" dxfId="28" priority="30" stopIfTrue="1">
      <formula>LEN(TRIM(C22))=0</formula>
    </cfRule>
  </conditionalFormatting>
  <conditionalFormatting sqref="C23">
    <cfRule type="cellIs" dxfId="27" priority="25" stopIfTrue="1" operator="equal">
      <formula>"&lt; Assassinate Fanatic &gt;"</formula>
    </cfRule>
    <cfRule type="containsBlanks" dxfId="26" priority="26" stopIfTrue="1">
      <formula>LEN(TRIM(C23))=0</formula>
    </cfRule>
  </conditionalFormatting>
  <conditionalFormatting sqref="E21:N21">
    <cfRule type="expression" dxfId="25" priority="31" stopIfTrue="1">
      <formula>$C$21="&lt; Select Character &gt;"</formula>
    </cfRule>
    <cfRule type="expression" dxfId="24" priority="32" stopIfTrue="1">
      <formula>$C$21=""</formula>
    </cfRule>
  </conditionalFormatting>
  <conditionalFormatting sqref="E22:N22">
    <cfRule type="expression" dxfId="23" priority="27" stopIfTrue="1">
      <formula>$C$22="&lt; Select Agent &gt;"</formula>
    </cfRule>
    <cfRule type="expression" dxfId="22" priority="28" stopIfTrue="1">
      <formula>$C$22=""</formula>
    </cfRule>
  </conditionalFormatting>
  <conditionalFormatting sqref="E23:N23">
    <cfRule type="expression" dxfId="21" priority="23" stopIfTrue="1">
      <formula>$C$23="&lt; Select Fanatic &gt;"</formula>
    </cfRule>
    <cfRule type="expression" dxfId="20" priority="24" stopIfTrue="1">
      <formula>$C$23=""</formula>
    </cfRule>
  </conditionalFormatting>
  <conditionalFormatting sqref="C24">
    <cfRule type="cellIs" dxfId="19" priority="21" stopIfTrue="1" operator="equal">
      <formula>"&lt; Assassinate Wizard &gt;"</formula>
    </cfRule>
    <cfRule type="containsBlanks" dxfId="18" priority="22" stopIfTrue="1">
      <formula>LEN(TRIM(C24))=0</formula>
    </cfRule>
  </conditionalFormatting>
  <conditionalFormatting sqref="E24:N24">
    <cfRule type="expression" dxfId="17" priority="19" stopIfTrue="1">
      <formula>$C$24="&lt; Select Wizard &gt;"</formula>
    </cfRule>
    <cfRule type="expression" dxfId="16" priority="20" stopIfTrue="1">
      <formula>$C$24=""</formula>
    </cfRule>
  </conditionalFormatting>
  <conditionalFormatting sqref="C25">
    <cfRule type="cellIs" dxfId="15" priority="17" stopIfTrue="1" operator="equal">
      <formula>"&lt; Assassinate Leader &gt;"</formula>
    </cfRule>
    <cfRule type="containsBlanks" dxfId="14" priority="18" stopIfTrue="1">
      <formula>LEN(TRIM(C25))=0</formula>
    </cfRule>
  </conditionalFormatting>
  <conditionalFormatting sqref="E25:N25">
    <cfRule type="expression" dxfId="13" priority="15" stopIfTrue="1">
      <formula>$C$25="&lt; Select Leader &gt;"</formula>
    </cfRule>
    <cfRule type="expression" dxfId="12" priority="16" stopIfTrue="1">
      <formula>$C$25=""</formula>
    </cfRule>
  </conditionalFormatting>
  <conditionalFormatting sqref="C3">
    <cfRule type="cellIs" dxfId="11" priority="13" stopIfTrue="1" operator="equal">
      <formula>"&lt; Select Agent or Fanatic &gt;"</formula>
    </cfRule>
    <cfRule type="containsBlanks" dxfId="10" priority="14" stopIfTrue="1">
      <formula>LEN(TRIM(C3))=0</formula>
    </cfRule>
  </conditionalFormatting>
  <conditionalFormatting sqref="E32:N32">
    <cfRule type="expression" dxfId="9" priority="11" stopIfTrue="1">
      <formula>$C$21="&lt; Select Character &gt;"</formula>
    </cfRule>
    <cfRule type="expression" dxfId="8" priority="12" stopIfTrue="1">
      <formula>$C$21=""</formula>
    </cfRule>
  </conditionalFormatting>
  <conditionalFormatting sqref="C32">
    <cfRule type="cellIs" dxfId="7" priority="9" stopIfTrue="1" operator="equal">
      <formula>"&lt; Select Action &gt;"</formula>
    </cfRule>
    <cfRule type="containsBlanks" dxfId="6" priority="10" stopIfTrue="1">
      <formula>LEN(TRIM(C32))=0</formula>
    </cfRule>
  </conditionalFormatting>
  <conditionalFormatting sqref="C14">
    <cfRule type="containsBlanks" dxfId="5" priority="7" stopIfTrue="1">
      <formula>LEN(TRIM(C14))=0</formula>
    </cfRule>
    <cfRule type="cellIs" dxfId="4" priority="8" stopIfTrue="1" operator="equal">
      <formula>"&lt; Kidnap Fanatic &gt;"</formula>
    </cfRule>
  </conditionalFormatting>
  <conditionalFormatting sqref="M2">
    <cfRule type="containsBlanks" dxfId="3" priority="6" stopIfTrue="1">
      <formula>LEN(TRIM(M2))=0</formula>
    </cfRule>
  </conditionalFormatting>
  <conditionalFormatting sqref="C2">
    <cfRule type="cellIs" dxfId="2" priority="2" stopIfTrue="1" operator="equal">
      <formula>"&lt; Select your Kingdom &gt;"</formula>
    </cfRule>
    <cfRule type="containsBlanks" dxfId="1" priority="3" stopIfTrue="1">
      <formula>LEN(TRIM(C2))=0</formula>
    </cfRule>
  </conditionalFormatting>
  <conditionalFormatting sqref="B5:D7">
    <cfRule type="containsText" dxfId="0" priority="1" operator="containsText" text="Note:">
      <formula>NOT(ISERROR(SEARCH("Note:",B5)))</formula>
    </cfRule>
  </conditionalFormatting>
  <dataValidations count="12">
    <dataValidation type="list" showErrorMessage="1" errorTitle="Error" error="Please select a number from the drop-down list." sqref="M2:N2">
      <formula1>$AL$43:$AL$103</formula1>
    </dataValidation>
    <dataValidation type="list" showInputMessage="1" showErrorMessage="1" errorTitle="Error" error="Please select from the drop-down list." sqref="C3">
      <formula1>$R$56:$R$58</formula1>
    </dataValidation>
    <dataValidation type="list" showErrorMessage="1" errorTitle="Error" error="Please select from the drop-down menu." sqref="C32">
      <formula1>$R$87:$R$104</formula1>
    </dataValidation>
    <dataValidation type="list" showInputMessage="1" showErrorMessage="1" sqref="C25">
      <formula1>$AH$43:$AH$53</formula1>
    </dataValidation>
    <dataValidation type="list" showInputMessage="1" showErrorMessage="1" sqref="C24">
      <formula1>$AD$43:$AD$56</formula1>
    </dataValidation>
    <dataValidation type="list" showInputMessage="1" showErrorMessage="1" sqref="C23">
      <formula1>$Z$43:$Z$62</formula1>
    </dataValidation>
    <dataValidation type="list" showInputMessage="1" showErrorMessage="1" sqref="C22">
      <formula1>$V$43:$V$62</formula1>
    </dataValidation>
    <dataValidation type="list" showErrorMessage="1" errorTitle="Error" error="Please select from the drop-down menu." sqref="C21">
      <formula1>$R$43:$R$53</formula1>
    </dataValidation>
    <dataValidation type="list" showInputMessage="1" showErrorMessage="1" sqref="C14">
      <formula1>$Z$65:$Z$84</formula1>
    </dataValidation>
    <dataValidation type="list" showInputMessage="1" showErrorMessage="1" sqref="C13">
      <formula1>$V$65:$V$84</formula1>
    </dataValidation>
    <dataValidation type="list" showErrorMessage="1" errorTitle="Error" error="Please select from the drop-down menu." sqref="C12">
      <formula1>$R$65:$R$75</formula1>
    </dataValidation>
    <dataValidation type="list" showInputMessage="1" showErrorMessage="1" errorTitle="Error" error="Please select from the drop-down list." sqref="C2">
      <formula1>$AD$59:$AD$83</formula1>
    </dataValidation>
  </dataValidations>
  <pageMargins left="0.5" right="0.5" top="0.3" bottom="0.3" header="0.2" footer="0.2"/>
  <pageSetup scale="96" orientation="landscape" r:id="rId1"/>
  <colBreaks count="1" manualBreakCount="1">
    <brk id="15" max="1048575" man="1"/>
  </colBreaks>
  <pictur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B1:AT61"/>
  <sheetViews>
    <sheetView showGridLines="0" showRowColHeaders="0" zoomScale="90" zoomScaleNormal="90" workbookViewId="0"/>
  </sheetViews>
  <sheetFormatPr defaultRowHeight="15" x14ac:dyDescent="0.25"/>
  <cols>
    <col min="1" max="1" width="2.7109375" customWidth="1"/>
    <col min="2" max="2" width="14.85546875" customWidth="1"/>
    <col min="3" max="3" width="3.42578125" customWidth="1"/>
    <col min="4" max="4" width="3.7109375" style="37" customWidth="1"/>
    <col min="5" max="37" width="3.42578125" style="37" customWidth="1"/>
    <col min="38" max="38" width="3.7109375" customWidth="1"/>
    <col min="39" max="39" width="3.42578125" customWidth="1"/>
    <col min="40" max="40" width="1.7109375" customWidth="1"/>
    <col min="42" max="42" width="9.140625" hidden="1" customWidth="1"/>
  </cols>
  <sheetData>
    <row r="1" spans="2:46" ht="25.5" customHeight="1" x14ac:dyDescent="0.45">
      <c r="B1" s="785" t="s">
        <v>253</v>
      </c>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row>
    <row r="2" spans="2:46" ht="18" customHeight="1" thickBot="1" x14ac:dyDescent="0.3">
      <c r="B2" s="777" t="s">
        <v>245</v>
      </c>
      <c r="C2" s="778"/>
      <c r="D2" s="778"/>
      <c r="E2" s="778"/>
      <c r="F2" s="778"/>
      <c r="G2" s="778"/>
      <c r="H2" s="778"/>
      <c r="I2" s="778"/>
      <c r="J2" s="778"/>
      <c r="K2" s="778"/>
      <c r="L2" s="778"/>
      <c r="M2" s="778"/>
      <c r="N2" s="778"/>
      <c r="O2" s="778"/>
      <c r="P2" s="778"/>
      <c r="Q2" s="778"/>
      <c r="R2" s="778"/>
      <c r="S2" s="778"/>
      <c r="T2" s="778"/>
      <c r="U2" s="778"/>
      <c r="V2" s="778"/>
      <c r="W2" s="778"/>
      <c r="X2" s="778"/>
      <c r="Y2" s="778"/>
      <c r="Z2" s="778"/>
      <c r="AA2" s="778"/>
      <c r="AB2" s="778"/>
      <c r="AC2" s="778"/>
      <c r="AD2" s="778"/>
      <c r="AE2" s="778"/>
      <c r="AF2" s="778"/>
      <c r="AG2" s="778"/>
      <c r="AH2" s="778"/>
      <c r="AI2" s="778"/>
      <c r="AJ2" s="778"/>
      <c r="AK2" s="778"/>
      <c r="AL2" s="778"/>
      <c r="AM2" s="778"/>
    </row>
    <row r="3" spans="2:46" ht="90" customHeight="1" thickTop="1" x14ac:dyDescent="0.25">
      <c r="B3" s="95" t="s">
        <v>86</v>
      </c>
      <c r="C3" s="96" t="s">
        <v>170</v>
      </c>
      <c r="D3" s="57" t="s">
        <v>206</v>
      </c>
      <c r="E3" s="58" t="s">
        <v>171</v>
      </c>
      <c r="F3" s="58" t="s">
        <v>172</v>
      </c>
      <c r="G3" s="58" t="s">
        <v>173</v>
      </c>
      <c r="H3" s="58" t="s">
        <v>174</v>
      </c>
      <c r="I3" s="58" t="s">
        <v>175</v>
      </c>
      <c r="J3" s="58" t="s">
        <v>176</v>
      </c>
      <c r="K3" s="58" t="s">
        <v>177</v>
      </c>
      <c r="L3" s="58" t="s">
        <v>178</v>
      </c>
      <c r="M3" s="58" t="s">
        <v>179</v>
      </c>
      <c r="N3" s="58" t="s">
        <v>180</v>
      </c>
      <c r="O3" s="58" t="s">
        <v>181</v>
      </c>
      <c r="P3" s="58" t="s">
        <v>182</v>
      </c>
      <c r="Q3" s="58" t="s">
        <v>183</v>
      </c>
      <c r="R3" s="58" t="s">
        <v>184</v>
      </c>
      <c r="S3" s="58" t="s">
        <v>185</v>
      </c>
      <c r="T3" s="58" t="s">
        <v>186</v>
      </c>
      <c r="U3" s="58" t="s">
        <v>187</v>
      </c>
      <c r="V3" s="58" t="s">
        <v>188</v>
      </c>
      <c r="W3" s="58" t="s">
        <v>189</v>
      </c>
      <c r="X3" s="58" t="s">
        <v>190</v>
      </c>
      <c r="Y3" s="58" t="s">
        <v>191</v>
      </c>
      <c r="Z3" s="58" t="s">
        <v>192</v>
      </c>
      <c r="AA3" s="58" t="s">
        <v>193</v>
      </c>
      <c r="AB3" s="58" t="s">
        <v>194</v>
      </c>
      <c r="AC3" s="58" t="s">
        <v>195</v>
      </c>
      <c r="AD3" s="58" t="s">
        <v>196</v>
      </c>
      <c r="AE3" s="58" t="s">
        <v>825</v>
      </c>
      <c r="AF3" s="58" t="s">
        <v>201</v>
      </c>
      <c r="AG3" s="58" t="s">
        <v>202</v>
      </c>
      <c r="AH3" s="58" t="s">
        <v>197</v>
      </c>
      <c r="AI3" s="58" t="s">
        <v>198</v>
      </c>
      <c r="AJ3" s="58" t="s">
        <v>199</v>
      </c>
      <c r="AK3" s="66" t="s">
        <v>200</v>
      </c>
      <c r="AL3" s="56" t="s">
        <v>206</v>
      </c>
      <c r="AM3" s="97" t="s">
        <v>170</v>
      </c>
    </row>
    <row r="4" spans="2:46" ht="14.1" customHeight="1" x14ac:dyDescent="0.25">
      <c r="B4" s="47" t="s">
        <v>49</v>
      </c>
      <c r="C4" s="68">
        <v>1</v>
      </c>
      <c r="D4" s="49" t="s">
        <v>50</v>
      </c>
      <c r="E4" s="567"/>
      <c r="F4" s="567"/>
      <c r="G4" s="567"/>
      <c r="H4" s="567"/>
      <c r="I4" s="567"/>
      <c r="J4" s="567"/>
      <c r="K4" s="567"/>
      <c r="L4" s="567"/>
      <c r="M4" s="567"/>
      <c r="N4" s="567"/>
      <c r="O4" s="567" t="s">
        <v>85</v>
      </c>
      <c r="P4" s="567"/>
      <c r="Q4" s="567"/>
      <c r="R4" s="567"/>
      <c r="S4" s="567"/>
      <c r="T4" s="567"/>
      <c r="U4" s="567"/>
      <c r="V4" s="567"/>
      <c r="W4" s="567"/>
      <c r="X4" s="567"/>
      <c r="Y4" s="567" t="s">
        <v>85</v>
      </c>
      <c r="Z4" s="567"/>
      <c r="AA4" s="567"/>
      <c r="AB4" s="567"/>
      <c r="AC4" s="567" t="s">
        <v>85</v>
      </c>
      <c r="AD4" s="567"/>
      <c r="AE4" s="567"/>
      <c r="AF4" s="567"/>
      <c r="AG4" s="567"/>
      <c r="AH4" s="567"/>
      <c r="AI4" s="567"/>
      <c r="AJ4" s="567"/>
      <c r="AK4" s="568"/>
      <c r="AL4" s="48" t="s">
        <v>50</v>
      </c>
      <c r="AM4" s="72">
        <v>1</v>
      </c>
    </row>
    <row r="5" spans="2:46" ht="14.1" customHeight="1" x14ac:dyDescent="0.25">
      <c r="B5" s="50" t="s">
        <v>84</v>
      </c>
      <c r="C5" s="69">
        <v>1</v>
      </c>
      <c r="D5" s="52" t="s">
        <v>53</v>
      </c>
      <c r="E5" s="569" t="s">
        <v>85</v>
      </c>
      <c r="F5" s="569"/>
      <c r="G5" s="569" t="s">
        <v>85</v>
      </c>
      <c r="H5" s="569" t="s">
        <v>85</v>
      </c>
      <c r="I5" s="569"/>
      <c r="J5" s="569"/>
      <c r="K5" s="569"/>
      <c r="L5" s="569"/>
      <c r="M5" s="569"/>
      <c r="N5" s="569"/>
      <c r="O5" s="569" t="s">
        <v>85</v>
      </c>
      <c r="P5" s="569"/>
      <c r="Q5" s="569"/>
      <c r="R5" s="569"/>
      <c r="S5" s="569" t="s">
        <v>85</v>
      </c>
      <c r="T5" s="569"/>
      <c r="U5" s="569"/>
      <c r="V5" s="569" t="s">
        <v>85</v>
      </c>
      <c r="W5" s="569"/>
      <c r="X5" s="569"/>
      <c r="Y5" s="569"/>
      <c r="Z5" s="569"/>
      <c r="AA5" s="569" t="s">
        <v>85</v>
      </c>
      <c r="AB5" s="569"/>
      <c r="AC5" s="569" t="s">
        <v>85</v>
      </c>
      <c r="AD5" s="569"/>
      <c r="AE5" s="569"/>
      <c r="AF5" s="569" t="s">
        <v>85</v>
      </c>
      <c r="AG5" s="569"/>
      <c r="AH5" s="569"/>
      <c r="AI5" s="569"/>
      <c r="AJ5" s="569"/>
      <c r="AK5" s="570"/>
      <c r="AL5" s="51" t="s">
        <v>53</v>
      </c>
      <c r="AM5" s="73">
        <v>1</v>
      </c>
    </row>
    <row r="6" spans="2:46" ht="14.1" customHeight="1" x14ac:dyDescent="0.25">
      <c r="B6" s="53" t="s">
        <v>41</v>
      </c>
      <c r="C6" s="70">
        <v>2</v>
      </c>
      <c r="D6" s="55" t="s">
        <v>42</v>
      </c>
      <c r="E6" s="571" t="s">
        <v>85</v>
      </c>
      <c r="F6" s="571" t="s">
        <v>85</v>
      </c>
      <c r="G6" s="571"/>
      <c r="H6" s="571"/>
      <c r="I6" s="571" t="s">
        <v>85</v>
      </c>
      <c r="J6" s="571"/>
      <c r="K6" s="571"/>
      <c r="L6" s="571"/>
      <c r="M6" s="571" t="s">
        <v>85</v>
      </c>
      <c r="N6" s="571"/>
      <c r="O6" s="571"/>
      <c r="P6" s="571" t="s">
        <v>85</v>
      </c>
      <c r="Q6" s="571"/>
      <c r="R6" s="571"/>
      <c r="S6" s="571"/>
      <c r="T6" s="571"/>
      <c r="U6" s="571"/>
      <c r="V6" s="571"/>
      <c r="W6" s="571" t="s">
        <v>85</v>
      </c>
      <c r="X6" s="571" t="s">
        <v>85</v>
      </c>
      <c r="Y6" s="571"/>
      <c r="Z6" s="571"/>
      <c r="AA6" s="571"/>
      <c r="AB6" s="571" t="s">
        <v>85</v>
      </c>
      <c r="AC6" s="571"/>
      <c r="AD6" s="571"/>
      <c r="AE6" s="571"/>
      <c r="AF6" s="571"/>
      <c r="AG6" s="571"/>
      <c r="AH6" s="571"/>
      <c r="AI6" s="571"/>
      <c r="AJ6" s="571" t="s">
        <v>85</v>
      </c>
      <c r="AK6" s="572"/>
      <c r="AL6" s="54" t="s">
        <v>42</v>
      </c>
      <c r="AM6" s="74">
        <v>2</v>
      </c>
      <c r="AQ6" s="553"/>
      <c r="AR6" s="553"/>
      <c r="AS6" s="553"/>
      <c r="AT6" s="553"/>
    </row>
    <row r="7" spans="2:46" ht="14.1" customHeight="1" x14ac:dyDescent="0.25">
      <c r="B7" s="50" t="s">
        <v>62</v>
      </c>
      <c r="C7" s="69">
        <v>2</v>
      </c>
      <c r="D7" s="52" t="s">
        <v>63</v>
      </c>
      <c r="E7" s="569"/>
      <c r="F7" s="569"/>
      <c r="G7" s="569"/>
      <c r="H7" s="569"/>
      <c r="I7" s="569"/>
      <c r="J7" s="569"/>
      <c r="K7" s="569"/>
      <c r="L7" s="569"/>
      <c r="M7" s="569"/>
      <c r="N7" s="569"/>
      <c r="O7" s="569"/>
      <c r="P7" s="569"/>
      <c r="Q7" s="569"/>
      <c r="R7" s="569"/>
      <c r="S7" s="569"/>
      <c r="T7" s="569" t="s">
        <v>85</v>
      </c>
      <c r="U7" s="569"/>
      <c r="V7" s="569"/>
      <c r="W7" s="569" t="s">
        <v>85</v>
      </c>
      <c r="X7" s="569"/>
      <c r="Y7" s="569"/>
      <c r="Z7" s="569"/>
      <c r="AA7" s="569"/>
      <c r="AB7" s="569"/>
      <c r="AC7" s="569"/>
      <c r="AD7" s="569"/>
      <c r="AE7" s="569"/>
      <c r="AF7" s="569"/>
      <c r="AG7" s="569"/>
      <c r="AH7" s="569" t="s">
        <v>85</v>
      </c>
      <c r="AI7" s="569"/>
      <c r="AJ7" s="569"/>
      <c r="AK7" s="570"/>
      <c r="AL7" s="51" t="s">
        <v>63</v>
      </c>
      <c r="AM7" s="73">
        <v>2</v>
      </c>
      <c r="AQ7" s="553"/>
      <c r="AR7" s="553"/>
      <c r="AS7" s="553"/>
      <c r="AT7" s="553"/>
    </row>
    <row r="8" spans="2:46" ht="14.1" customHeight="1" x14ac:dyDescent="0.25">
      <c r="B8" s="53" t="s">
        <v>51</v>
      </c>
      <c r="C8" s="70">
        <v>3</v>
      </c>
      <c r="D8" s="55" t="s">
        <v>52</v>
      </c>
      <c r="E8" s="571"/>
      <c r="F8" s="571" t="s">
        <v>85</v>
      </c>
      <c r="G8" s="571"/>
      <c r="H8" s="571"/>
      <c r="I8" s="571"/>
      <c r="J8" s="571"/>
      <c r="K8" s="571" t="s">
        <v>85</v>
      </c>
      <c r="L8" s="571"/>
      <c r="M8" s="571" t="s">
        <v>85</v>
      </c>
      <c r="N8" s="571"/>
      <c r="O8" s="571"/>
      <c r="P8" s="571" t="s">
        <v>85</v>
      </c>
      <c r="Q8" s="571" t="s">
        <v>85</v>
      </c>
      <c r="R8" s="571"/>
      <c r="S8" s="571"/>
      <c r="T8" s="571"/>
      <c r="U8" s="571" t="s">
        <v>85</v>
      </c>
      <c r="V8" s="571"/>
      <c r="W8" s="571"/>
      <c r="X8" s="571"/>
      <c r="Y8" s="571"/>
      <c r="Z8" s="571" t="s">
        <v>85</v>
      </c>
      <c r="AA8" s="571"/>
      <c r="AB8" s="571" t="s">
        <v>85</v>
      </c>
      <c r="AC8" s="571"/>
      <c r="AD8" s="571" t="s">
        <v>85</v>
      </c>
      <c r="AE8" s="571"/>
      <c r="AF8" s="571" t="s">
        <v>85</v>
      </c>
      <c r="AG8" s="571"/>
      <c r="AH8" s="571"/>
      <c r="AI8" s="571"/>
      <c r="AJ8" s="571" t="s">
        <v>85</v>
      </c>
      <c r="AK8" s="572"/>
      <c r="AL8" s="54" t="s">
        <v>52</v>
      </c>
      <c r="AM8" s="74">
        <v>3</v>
      </c>
      <c r="AQ8" s="553"/>
      <c r="AR8" s="553"/>
      <c r="AS8" s="553"/>
      <c r="AT8" s="553"/>
    </row>
    <row r="9" spans="2:46" ht="14.1" customHeight="1" x14ac:dyDescent="0.25">
      <c r="B9" s="50" t="s">
        <v>80</v>
      </c>
      <c r="C9" s="69">
        <v>3</v>
      </c>
      <c r="D9" s="52" t="s">
        <v>81</v>
      </c>
      <c r="E9" s="569"/>
      <c r="F9" s="569" t="s">
        <v>85</v>
      </c>
      <c r="G9" s="569"/>
      <c r="H9" s="569"/>
      <c r="I9" s="569"/>
      <c r="J9" s="569"/>
      <c r="K9" s="569"/>
      <c r="L9" s="569"/>
      <c r="M9" s="569"/>
      <c r="N9" s="569" t="s">
        <v>85</v>
      </c>
      <c r="O9" s="569"/>
      <c r="P9" s="569"/>
      <c r="Q9" s="569"/>
      <c r="R9" s="569"/>
      <c r="S9" s="569"/>
      <c r="T9" s="569"/>
      <c r="U9" s="569"/>
      <c r="V9" s="569"/>
      <c r="W9" s="569"/>
      <c r="X9" s="569"/>
      <c r="Y9" s="569" t="s">
        <v>85</v>
      </c>
      <c r="Z9" s="569"/>
      <c r="AA9" s="569"/>
      <c r="AB9" s="569"/>
      <c r="AC9" s="569"/>
      <c r="AD9" s="569"/>
      <c r="AE9" s="569"/>
      <c r="AF9" s="569"/>
      <c r="AG9" s="569"/>
      <c r="AH9" s="569"/>
      <c r="AI9" s="569"/>
      <c r="AJ9" s="569"/>
      <c r="AK9" s="570"/>
      <c r="AL9" s="51" t="s">
        <v>81</v>
      </c>
      <c r="AM9" s="73">
        <v>3</v>
      </c>
      <c r="AQ9" s="553"/>
      <c r="AR9" s="553"/>
      <c r="AS9" s="553"/>
      <c r="AT9" s="553"/>
    </row>
    <row r="10" spans="2:46" ht="14.1" customHeight="1" x14ac:dyDescent="0.25">
      <c r="B10" s="53" t="s">
        <v>35</v>
      </c>
      <c r="C10" s="70">
        <v>4</v>
      </c>
      <c r="D10" s="55" t="s">
        <v>36</v>
      </c>
      <c r="E10" s="571"/>
      <c r="F10" s="571" t="s">
        <v>85</v>
      </c>
      <c r="G10" s="571" t="s">
        <v>85</v>
      </c>
      <c r="H10" s="571"/>
      <c r="I10" s="571"/>
      <c r="J10" s="571" t="s">
        <v>85</v>
      </c>
      <c r="K10" s="571"/>
      <c r="L10" s="571"/>
      <c r="M10" s="571" t="s">
        <v>85</v>
      </c>
      <c r="N10" s="571"/>
      <c r="O10" s="571" t="s">
        <v>85</v>
      </c>
      <c r="P10" s="571"/>
      <c r="Q10" s="571"/>
      <c r="R10" s="571" t="s">
        <v>85</v>
      </c>
      <c r="S10" s="571"/>
      <c r="T10" s="571"/>
      <c r="U10" s="571"/>
      <c r="V10" s="571" t="s">
        <v>85</v>
      </c>
      <c r="W10" s="571"/>
      <c r="X10" s="571"/>
      <c r="Y10" s="571" t="s">
        <v>85</v>
      </c>
      <c r="Z10" s="571"/>
      <c r="AA10" s="571"/>
      <c r="AB10" s="571"/>
      <c r="AC10" s="571" t="s">
        <v>85</v>
      </c>
      <c r="AD10" s="571"/>
      <c r="AE10" s="571"/>
      <c r="AF10" s="571"/>
      <c r="AG10" s="571"/>
      <c r="AH10" s="571"/>
      <c r="AI10" s="571"/>
      <c r="AJ10" s="571"/>
      <c r="AK10" s="572"/>
      <c r="AL10" s="54" t="s">
        <v>36</v>
      </c>
      <c r="AM10" s="74">
        <v>4</v>
      </c>
      <c r="AQ10" s="553"/>
      <c r="AR10" s="553"/>
      <c r="AS10" s="553"/>
      <c r="AT10" s="553"/>
    </row>
    <row r="11" spans="2:46" ht="14.1" customHeight="1" x14ac:dyDescent="0.25">
      <c r="B11" s="50" t="s">
        <v>74</v>
      </c>
      <c r="C11" s="69">
        <v>4</v>
      </c>
      <c r="D11" s="52" t="s">
        <v>75</v>
      </c>
      <c r="E11" s="569"/>
      <c r="F11" s="569"/>
      <c r="G11" s="569"/>
      <c r="H11" s="569"/>
      <c r="I11" s="569"/>
      <c r="J11" s="569"/>
      <c r="K11" s="569"/>
      <c r="L11" s="569"/>
      <c r="M11" s="569"/>
      <c r="N11" s="569"/>
      <c r="O11" s="569"/>
      <c r="P11" s="569"/>
      <c r="Q11" s="569"/>
      <c r="R11" s="569"/>
      <c r="S11" s="569" t="s">
        <v>85</v>
      </c>
      <c r="T11" s="569"/>
      <c r="U11" s="569"/>
      <c r="V11" s="569"/>
      <c r="W11" s="569"/>
      <c r="X11" s="569"/>
      <c r="Y11" s="569" t="s">
        <v>85</v>
      </c>
      <c r="Z11" s="569"/>
      <c r="AA11" s="569" t="s">
        <v>85</v>
      </c>
      <c r="AB11" s="569"/>
      <c r="AC11" s="569"/>
      <c r="AD11" s="569"/>
      <c r="AE11" s="569"/>
      <c r="AF11" s="569"/>
      <c r="AG11" s="569"/>
      <c r="AH11" s="569"/>
      <c r="AI11" s="569"/>
      <c r="AJ11" s="569"/>
      <c r="AK11" s="570"/>
      <c r="AL11" s="51" t="s">
        <v>75</v>
      </c>
      <c r="AM11" s="73">
        <v>4</v>
      </c>
      <c r="AQ11" s="553"/>
      <c r="AR11" s="553"/>
      <c r="AS11" s="553"/>
      <c r="AT11" s="553"/>
    </row>
    <row r="12" spans="2:46" ht="14.1" customHeight="1" x14ac:dyDescent="0.25">
      <c r="B12" s="53" t="s">
        <v>43</v>
      </c>
      <c r="C12" s="70">
        <v>5</v>
      </c>
      <c r="D12" s="55" t="s">
        <v>44</v>
      </c>
      <c r="E12" s="571" t="s">
        <v>85</v>
      </c>
      <c r="F12" s="571"/>
      <c r="G12" s="571"/>
      <c r="H12" s="571"/>
      <c r="I12" s="571"/>
      <c r="J12" s="571"/>
      <c r="K12" s="571"/>
      <c r="L12" s="571" t="s">
        <v>85</v>
      </c>
      <c r="M12" s="571"/>
      <c r="N12" s="571"/>
      <c r="O12" s="571"/>
      <c r="P12" s="571"/>
      <c r="Q12" s="571"/>
      <c r="R12" s="571"/>
      <c r="S12" s="571"/>
      <c r="T12" s="571"/>
      <c r="U12" s="571"/>
      <c r="V12" s="571"/>
      <c r="W12" s="571" t="s">
        <v>85</v>
      </c>
      <c r="X12" s="571"/>
      <c r="Y12" s="571"/>
      <c r="Z12" s="571"/>
      <c r="AA12" s="571"/>
      <c r="AB12" s="571"/>
      <c r="AC12" s="571" t="s">
        <v>85</v>
      </c>
      <c r="AD12" s="571"/>
      <c r="AE12" s="571"/>
      <c r="AF12" s="571" t="s">
        <v>85</v>
      </c>
      <c r="AG12" s="571"/>
      <c r="AH12" s="571" t="s">
        <v>85</v>
      </c>
      <c r="AI12" s="571"/>
      <c r="AJ12" s="571"/>
      <c r="AK12" s="572"/>
      <c r="AL12" s="54" t="s">
        <v>44</v>
      </c>
      <c r="AM12" s="74">
        <v>5</v>
      </c>
      <c r="AQ12" s="553"/>
      <c r="AR12" s="553"/>
      <c r="AS12" s="553"/>
      <c r="AT12" s="553"/>
    </row>
    <row r="13" spans="2:46" ht="14.1" customHeight="1" x14ac:dyDescent="0.25">
      <c r="B13" s="50" t="s">
        <v>72</v>
      </c>
      <c r="C13" s="69">
        <v>5</v>
      </c>
      <c r="D13" s="52" t="s">
        <v>73</v>
      </c>
      <c r="E13" s="569"/>
      <c r="F13" s="569"/>
      <c r="G13" s="569"/>
      <c r="H13" s="569"/>
      <c r="I13" s="569"/>
      <c r="J13" s="569" t="s">
        <v>85</v>
      </c>
      <c r="K13" s="569" t="s">
        <v>85</v>
      </c>
      <c r="L13" s="569"/>
      <c r="M13" s="569" t="s">
        <v>85</v>
      </c>
      <c r="N13" s="569"/>
      <c r="O13" s="569" t="s">
        <v>85</v>
      </c>
      <c r="P13" s="569" t="s">
        <v>85</v>
      </c>
      <c r="Q13" s="569"/>
      <c r="R13" s="569" t="s">
        <v>85</v>
      </c>
      <c r="S13" s="569"/>
      <c r="T13" s="569" t="s">
        <v>85</v>
      </c>
      <c r="U13" s="569"/>
      <c r="V13" s="569"/>
      <c r="W13" s="569"/>
      <c r="X13" s="569"/>
      <c r="Y13" s="569"/>
      <c r="Z13" s="569" t="s">
        <v>85</v>
      </c>
      <c r="AA13" s="569"/>
      <c r="AB13" s="569" t="s">
        <v>85</v>
      </c>
      <c r="AC13" s="569"/>
      <c r="AD13" s="569"/>
      <c r="AE13" s="569"/>
      <c r="AF13" s="569"/>
      <c r="AG13" s="569"/>
      <c r="AH13" s="569" t="s">
        <v>85</v>
      </c>
      <c r="AI13" s="569"/>
      <c r="AJ13" s="569"/>
      <c r="AK13" s="570"/>
      <c r="AL13" s="51" t="s">
        <v>73</v>
      </c>
      <c r="AM13" s="73">
        <v>5</v>
      </c>
      <c r="AQ13" s="553"/>
      <c r="AR13" s="553"/>
      <c r="AS13" s="553"/>
      <c r="AT13" s="553"/>
    </row>
    <row r="14" spans="2:46" ht="14.1" customHeight="1" x14ac:dyDescent="0.25">
      <c r="B14" s="53" t="s">
        <v>39</v>
      </c>
      <c r="C14" s="70">
        <v>6</v>
      </c>
      <c r="D14" s="55" t="s">
        <v>40</v>
      </c>
      <c r="E14" s="571"/>
      <c r="F14" s="571"/>
      <c r="G14" s="571"/>
      <c r="H14" s="571" t="s">
        <v>85</v>
      </c>
      <c r="I14" s="571"/>
      <c r="J14" s="571"/>
      <c r="K14" s="571" t="s">
        <v>85</v>
      </c>
      <c r="L14" s="571"/>
      <c r="M14" s="571"/>
      <c r="N14" s="571" t="s">
        <v>85</v>
      </c>
      <c r="O14" s="571"/>
      <c r="P14" s="571"/>
      <c r="Q14" s="571"/>
      <c r="R14" s="571"/>
      <c r="S14" s="571" t="s">
        <v>85</v>
      </c>
      <c r="T14" s="571"/>
      <c r="U14" s="571"/>
      <c r="V14" s="571"/>
      <c r="W14" s="571"/>
      <c r="X14" s="571" t="s">
        <v>85</v>
      </c>
      <c r="Y14" s="571" t="s">
        <v>85</v>
      </c>
      <c r="Z14" s="571"/>
      <c r="AA14" s="571"/>
      <c r="AB14" s="571"/>
      <c r="AC14" s="571"/>
      <c r="AD14" s="571"/>
      <c r="AE14" s="571"/>
      <c r="AF14" s="571"/>
      <c r="AG14" s="571"/>
      <c r="AH14" s="571"/>
      <c r="AI14" s="571"/>
      <c r="AJ14" s="571"/>
      <c r="AK14" s="572"/>
      <c r="AL14" s="54" t="s">
        <v>40</v>
      </c>
      <c r="AM14" s="74">
        <v>6</v>
      </c>
      <c r="AQ14" s="553"/>
      <c r="AR14" s="553"/>
      <c r="AS14" s="553"/>
      <c r="AT14" s="553"/>
    </row>
    <row r="15" spans="2:46" ht="14.1" customHeight="1" x14ac:dyDescent="0.25">
      <c r="B15" s="50" t="s">
        <v>47</v>
      </c>
      <c r="C15" s="69">
        <v>6</v>
      </c>
      <c r="D15" s="52" t="s">
        <v>48</v>
      </c>
      <c r="E15" s="569"/>
      <c r="F15" s="569"/>
      <c r="G15" s="569"/>
      <c r="H15" s="569"/>
      <c r="I15" s="569"/>
      <c r="J15" s="569"/>
      <c r="K15" s="569"/>
      <c r="L15" s="569"/>
      <c r="M15" s="569"/>
      <c r="N15" s="569"/>
      <c r="O15" s="569"/>
      <c r="P15" s="569"/>
      <c r="Q15" s="569"/>
      <c r="R15" s="569"/>
      <c r="S15" s="569"/>
      <c r="T15" s="569"/>
      <c r="U15" s="569"/>
      <c r="V15" s="569"/>
      <c r="W15" s="569" t="s">
        <v>85</v>
      </c>
      <c r="X15" s="569"/>
      <c r="Y15" s="569" t="s">
        <v>85</v>
      </c>
      <c r="Z15" s="569"/>
      <c r="AA15" s="569"/>
      <c r="AB15" s="569"/>
      <c r="AC15" s="569"/>
      <c r="AD15" s="569"/>
      <c r="AE15" s="569"/>
      <c r="AF15" s="569"/>
      <c r="AG15" s="569" t="s">
        <v>85</v>
      </c>
      <c r="AH15" s="569"/>
      <c r="AI15" s="569"/>
      <c r="AJ15" s="569"/>
      <c r="AK15" s="570"/>
      <c r="AL15" s="51" t="s">
        <v>48</v>
      </c>
      <c r="AM15" s="73">
        <v>6</v>
      </c>
      <c r="AQ15" s="553"/>
      <c r="AR15" s="553"/>
      <c r="AS15" s="553"/>
      <c r="AT15" s="553"/>
    </row>
    <row r="16" spans="2:46" ht="14.1" customHeight="1" x14ac:dyDescent="0.25">
      <c r="B16" s="53" t="s">
        <v>54</v>
      </c>
      <c r="C16" s="70">
        <v>7</v>
      </c>
      <c r="D16" s="55" t="s">
        <v>55</v>
      </c>
      <c r="E16" s="571"/>
      <c r="F16" s="571"/>
      <c r="G16" s="571"/>
      <c r="H16" s="571"/>
      <c r="I16" s="571" t="s">
        <v>85</v>
      </c>
      <c r="J16" s="571"/>
      <c r="K16" s="571"/>
      <c r="L16" s="571"/>
      <c r="M16" s="571" t="s">
        <v>85</v>
      </c>
      <c r="N16" s="571"/>
      <c r="O16" s="571"/>
      <c r="P16" s="571"/>
      <c r="Q16" s="571" t="s">
        <v>85</v>
      </c>
      <c r="R16" s="571"/>
      <c r="S16" s="571"/>
      <c r="T16" s="571"/>
      <c r="U16" s="571" t="s">
        <v>85</v>
      </c>
      <c r="V16" s="571"/>
      <c r="W16" s="571"/>
      <c r="X16" s="571"/>
      <c r="Y16" s="571"/>
      <c r="Z16" s="571" t="s">
        <v>85</v>
      </c>
      <c r="AA16" s="571" t="s">
        <v>85</v>
      </c>
      <c r="AB16" s="571"/>
      <c r="AC16" s="571"/>
      <c r="AD16" s="571" t="s">
        <v>85</v>
      </c>
      <c r="AE16" s="571"/>
      <c r="AF16" s="571"/>
      <c r="AG16" s="571"/>
      <c r="AH16" s="571"/>
      <c r="AI16" s="571"/>
      <c r="AJ16" s="571"/>
      <c r="AK16" s="572"/>
      <c r="AL16" s="54" t="s">
        <v>55</v>
      </c>
      <c r="AM16" s="74">
        <v>7</v>
      </c>
      <c r="AQ16" s="553"/>
      <c r="AR16" s="553"/>
      <c r="AS16" s="553"/>
      <c r="AT16" s="553"/>
    </row>
    <row r="17" spans="2:46" ht="14.1" customHeight="1" x14ac:dyDescent="0.25">
      <c r="B17" s="50" t="s">
        <v>56</v>
      </c>
      <c r="C17" s="69">
        <v>7</v>
      </c>
      <c r="D17" s="52" t="s">
        <v>57</v>
      </c>
      <c r="E17" s="569"/>
      <c r="F17" s="569" t="s">
        <v>85</v>
      </c>
      <c r="G17" s="569"/>
      <c r="H17" s="569" t="s">
        <v>85</v>
      </c>
      <c r="I17" s="569" t="s">
        <v>85</v>
      </c>
      <c r="J17" s="569"/>
      <c r="K17" s="569"/>
      <c r="L17" s="569"/>
      <c r="M17" s="569" t="s">
        <v>85</v>
      </c>
      <c r="N17" s="569"/>
      <c r="O17" s="569"/>
      <c r="P17" s="569"/>
      <c r="Q17" s="569" t="s">
        <v>85</v>
      </c>
      <c r="R17" s="569"/>
      <c r="S17" s="569" t="s">
        <v>85</v>
      </c>
      <c r="T17" s="569"/>
      <c r="U17" s="569"/>
      <c r="V17" s="569"/>
      <c r="W17" s="569"/>
      <c r="X17" s="569"/>
      <c r="Y17" s="569"/>
      <c r="Z17" s="569"/>
      <c r="AA17" s="569"/>
      <c r="AB17" s="569" t="s">
        <v>85</v>
      </c>
      <c r="AC17" s="569"/>
      <c r="AD17" s="569" t="s">
        <v>85</v>
      </c>
      <c r="AE17" s="569"/>
      <c r="AF17" s="569"/>
      <c r="AG17" s="569"/>
      <c r="AH17" s="569" t="s">
        <v>85</v>
      </c>
      <c r="AI17" s="569"/>
      <c r="AJ17" s="569" t="s">
        <v>85</v>
      </c>
      <c r="AK17" s="570"/>
      <c r="AL17" s="51" t="s">
        <v>57</v>
      </c>
      <c r="AM17" s="73">
        <v>7</v>
      </c>
      <c r="AQ17" s="553"/>
      <c r="AR17" s="553"/>
      <c r="AS17" s="553"/>
      <c r="AT17" s="553"/>
    </row>
    <row r="18" spans="2:46" ht="14.1" customHeight="1" x14ac:dyDescent="0.25">
      <c r="B18" s="53" t="s">
        <v>58</v>
      </c>
      <c r="C18" s="70">
        <v>8</v>
      </c>
      <c r="D18" s="55" t="s">
        <v>59</v>
      </c>
      <c r="E18" s="571"/>
      <c r="F18" s="571"/>
      <c r="G18" s="571"/>
      <c r="H18" s="571" t="s">
        <v>85</v>
      </c>
      <c r="I18" s="571" t="s">
        <v>85</v>
      </c>
      <c r="J18" s="571"/>
      <c r="K18" s="571"/>
      <c r="L18" s="571"/>
      <c r="M18" s="571"/>
      <c r="N18" s="571" t="s">
        <v>85</v>
      </c>
      <c r="O18" s="571"/>
      <c r="P18" s="571"/>
      <c r="Q18" s="571"/>
      <c r="R18" s="571"/>
      <c r="S18" s="571"/>
      <c r="T18" s="571"/>
      <c r="U18" s="571"/>
      <c r="V18" s="571"/>
      <c r="W18" s="571"/>
      <c r="X18" s="571"/>
      <c r="Y18" s="571" t="s">
        <v>85</v>
      </c>
      <c r="Z18" s="571"/>
      <c r="AA18" s="571"/>
      <c r="AB18" s="571"/>
      <c r="AC18" s="571"/>
      <c r="AD18" s="571" t="s">
        <v>85</v>
      </c>
      <c r="AE18" s="571"/>
      <c r="AF18" s="571"/>
      <c r="AG18" s="571"/>
      <c r="AH18" s="571"/>
      <c r="AI18" s="571"/>
      <c r="AJ18" s="571"/>
      <c r="AK18" s="572"/>
      <c r="AL18" s="54" t="s">
        <v>59</v>
      </c>
      <c r="AM18" s="74">
        <v>8</v>
      </c>
      <c r="AQ18" s="553"/>
      <c r="AR18" s="553"/>
      <c r="AS18" s="553"/>
      <c r="AT18" s="553"/>
    </row>
    <row r="19" spans="2:46" ht="14.1" customHeight="1" x14ac:dyDescent="0.25">
      <c r="B19" s="50" t="s">
        <v>68</v>
      </c>
      <c r="C19" s="69">
        <v>8</v>
      </c>
      <c r="D19" s="52" t="s">
        <v>69</v>
      </c>
      <c r="E19" s="569" t="s">
        <v>85</v>
      </c>
      <c r="F19" s="569"/>
      <c r="G19" s="569"/>
      <c r="H19" s="569"/>
      <c r="I19" s="569"/>
      <c r="J19" s="569"/>
      <c r="K19" s="569"/>
      <c r="L19" s="569"/>
      <c r="M19" s="569"/>
      <c r="N19" s="569"/>
      <c r="O19" s="569" t="s">
        <v>85</v>
      </c>
      <c r="P19" s="569" t="s">
        <v>85</v>
      </c>
      <c r="Q19" s="569"/>
      <c r="R19" s="569" t="s">
        <v>85</v>
      </c>
      <c r="S19" s="569"/>
      <c r="T19" s="569"/>
      <c r="U19" s="569"/>
      <c r="V19" s="569" t="s">
        <v>85</v>
      </c>
      <c r="W19" s="569"/>
      <c r="X19" s="569"/>
      <c r="Y19" s="569"/>
      <c r="Z19" s="569"/>
      <c r="AA19" s="569"/>
      <c r="AB19" s="569" t="s">
        <v>85</v>
      </c>
      <c r="AC19" s="569" t="s">
        <v>85</v>
      </c>
      <c r="AD19" s="569"/>
      <c r="AE19" s="569"/>
      <c r="AF19" s="569"/>
      <c r="AG19" s="569"/>
      <c r="AH19" s="569" t="s">
        <v>85</v>
      </c>
      <c r="AI19" s="569"/>
      <c r="AJ19" s="569"/>
      <c r="AK19" s="570"/>
      <c r="AL19" s="51" t="s">
        <v>69</v>
      </c>
      <c r="AM19" s="73">
        <v>8</v>
      </c>
    </row>
    <row r="20" spans="2:46" ht="14.1" customHeight="1" x14ac:dyDescent="0.25">
      <c r="B20" s="53" t="s">
        <v>45</v>
      </c>
      <c r="C20" s="70">
        <v>9</v>
      </c>
      <c r="D20" s="55" t="s">
        <v>46</v>
      </c>
      <c r="E20" s="571" t="s">
        <v>85</v>
      </c>
      <c r="F20" s="571"/>
      <c r="G20" s="571" t="s">
        <v>85</v>
      </c>
      <c r="H20" s="571"/>
      <c r="I20" s="571" t="s">
        <v>85</v>
      </c>
      <c r="J20" s="571"/>
      <c r="K20" s="571" t="s">
        <v>85</v>
      </c>
      <c r="L20" s="571"/>
      <c r="M20" s="571"/>
      <c r="N20" s="571"/>
      <c r="O20" s="571"/>
      <c r="P20" s="571"/>
      <c r="Q20" s="571"/>
      <c r="R20" s="571" t="s">
        <v>85</v>
      </c>
      <c r="S20" s="571"/>
      <c r="T20" s="571" t="s">
        <v>85</v>
      </c>
      <c r="U20" s="571"/>
      <c r="V20" s="571" t="s">
        <v>85</v>
      </c>
      <c r="W20" s="571" t="s">
        <v>85</v>
      </c>
      <c r="X20" s="571"/>
      <c r="Y20" s="571"/>
      <c r="Z20" s="571"/>
      <c r="AA20" s="571" t="s">
        <v>85</v>
      </c>
      <c r="AB20" s="571"/>
      <c r="AC20" s="571" t="s">
        <v>85</v>
      </c>
      <c r="AD20" s="571"/>
      <c r="AE20" s="571"/>
      <c r="AF20" s="571"/>
      <c r="AG20" s="571"/>
      <c r="AH20" s="571"/>
      <c r="AI20" s="571"/>
      <c r="AJ20" s="571"/>
      <c r="AK20" s="572"/>
      <c r="AL20" s="54" t="s">
        <v>46</v>
      </c>
      <c r="AM20" s="74">
        <v>9</v>
      </c>
    </row>
    <row r="21" spans="2:46" ht="14.1" customHeight="1" x14ac:dyDescent="0.25">
      <c r="B21" s="50" t="s">
        <v>60</v>
      </c>
      <c r="C21" s="69">
        <v>9</v>
      </c>
      <c r="D21" s="52" t="s">
        <v>61</v>
      </c>
      <c r="E21" s="569"/>
      <c r="F21" s="569"/>
      <c r="G21" s="569"/>
      <c r="H21" s="569"/>
      <c r="I21" s="569" t="s">
        <v>85</v>
      </c>
      <c r="J21" s="569" t="s">
        <v>85</v>
      </c>
      <c r="K21" s="569"/>
      <c r="L21" s="569"/>
      <c r="M21" s="569"/>
      <c r="N21" s="569"/>
      <c r="O21" s="569" t="s">
        <v>85</v>
      </c>
      <c r="P21" s="569"/>
      <c r="Q21" s="569"/>
      <c r="R21" s="569"/>
      <c r="S21" s="569"/>
      <c r="T21" s="569" t="s">
        <v>85</v>
      </c>
      <c r="U21" s="569"/>
      <c r="V21" s="569"/>
      <c r="W21" s="569" t="s">
        <v>85</v>
      </c>
      <c r="X21" s="569"/>
      <c r="Y21" s="569"/>
      <c r="Z21" s="569"/>
      <c r="AA21" s="569" t="s">
        <v>85</v>
      </c>
      <c r="AB21" s="569"/>
      <c r="AC21" s="569" t="s">
        <v>85</v>
      </c>
      <c r="AD21" s="569"/>
      <c r="AE21" s="569"/>
      <c r="AF21" s="569"/>
      <c r="AG21" s="569"/>
      <c r="AH21" s="569"/>
      <c r="AI21" s="569"/>
      <c r="AJ21" s="569"/>
      <c r="AK21" s="570"/>
      <c r="AL21" s="51" t="s">
        <v>61</v>
      </c>
      <c r="AM21" s="73">
        <v>9</v>
      </c>
    </row>
    <row r="22" spans="2:46" ht="14.1" customHeight="1" x14ac:dyDescent="0.25">
      <c r="B22" s="53" t="s">
        <v>37</v>
      </c>
      <c r="C22" s="70">
        <v>10</v>
      </c>
      <c r="D22" s="55" t="s">
        <v>38</v>
      </c>
      <c r="E22" s="571" t="s">
        <v>85</v>
      </c>
      <c r="F22" s="571"/>
      <c r="G22" s="571"/>
      <c r="H22" s="571" t="s">
        <v>85</v>
      </c>
      <c r="I22" s="571"/>
      <c r="J22" s="571"/>
      <c r="K22" s="571"/>
      <c r="L22" s="571"/>
      <c r="M22" s="571" t="s">
        <v>85</v>
      </c>
      <c r="N22" s="571" t="s">
        <v>85</v>
      </c>
      <c r="O22" s="571" t="s">
        <v>85</v>
      </c>
      <c r="P22" s="571"/>
      <c r="Q22" s="571"/>
      <c r="R22" s="571"/>
      <c r="S22" s="571"/>
      <c r="T22" s="571"/>
      <c r="U22" s="571"/>
      <c r="V22" s="571"/>
      <c r="W22" s="571"/>
      <c r="X22" s="571"/>
      <c r="Y22" s="571" t="s">
        <v>85</v>
      </c>
      <c r="Z22" s="571"/>
      <c r="AA22" s="571"/>
      <c r="AB22" s="571"/>
      <c r="AC22" s="571"/>
      <c r="AD22" s="571"/>
      <c r="AE22" s="571"/>
      <c r="AF22" s="571" t="s">
        <v>85</v>
      </c>
      <c r="AG22" s="571"/>
      <c r="AH22" s="571"/>
      <c r="AI22" s="571" t="s">
        <v>85</v>
      </c>
      <c r="AJ22" s="571"/>
      <c r="AK22" s="572"/>
      <c r="AL22" s="54" t="s">
        <v>38</v>
      </c>
      <c r="AM22" s="74">
        <v>10</v>
      </c>
    </row>
    <row r="23" spans="2:46" ht="14.1" customHeight="1" x14ac:dyDescent="0.25">
      <c r="B23" s="50" t="s">
        <v>64</v>
      </c>
      <c r="C23" s="69">
        <v>10</v>
      </c>
      <c r="D23" s="52" t="s">
        <v>65</v>
      </c>
      <c r="E23" s="569"/>
      <c r="F23" s="569"/>
      <c r="G23" s="569" t="s">
        <v>85</v>
      </c>
      <c r="H23" s="569"/>
      <c r="I23" s="569" t="s">
        <v>85</v>
      </c>
      <c r="J23" s="569" t="s">
        <v>85</v>
      </c>
      <c r="K23" s="569" t="s">
        <v>85</v>
      </c>
      <c r="L23" s="569"/>
      <c r="M23" s="569" t="s">
        <v>85</v>
      </c>
      <c r="N23" s="569"/>
      <c r="O23" s="569" t="s">
        <v>85</v>
      </c>
      <c r="P23" s="569"/>
      <c r="Q23" s="569"/>
      <c r="R23" s="569"/>
      <c r="S23" s="569"/>
      <c r="T23" s="569"/>
      <c r="U23" s="569"/>
      <c r="V23" s="569" t="s">
        <v>85</v>
      </c>
      <c r="W23" s="569"/>
      <c r="X23" s="569"/>
      <c r="Y23" s="569"/>
      <c r="Z23" s="569"/>
      <c r="AA23" s="569" t="s">
        <v>85</v>
      </c>
      <c r="AB23" s="569"/>
      <c r="AC23" s="569" t="s">
        <v>85</v>
      </c>
      <c r="AD23" s="569" t="s">
        <v>85</v>
      </c>
      <c r="AE23" s="569"/>
      <c r="AF23" s="569"/>
      <c r="AG23" s="569"/>
      <c r="AH23" s="569"/>
      <c r="AI23" s="569"/>
      <c r="AJ23" s="569"/>
      <c r="AK23" s="570"/>
      <c r="AL23" s="51" t="s">
        <v>65</v>
      </c>
      <c r="AM23" s="73">
        <v>10</v>
      </c>
    </row>
    <row r="24" spans="2:46" ht="14.1" customHeight="1" x14ac:dyDescent="0.25">
      <c r="B24" s="53" t="s">
        <v>70</v>
      </c>
      <c r="C24" s="70" t="s">
        <v>83</v>
      </c>
      <c r="D24" s="55" t="s">
        <v>71</v>
      </c>
      <c r="E24" s="571" t="s">
        <v>85</v>
      </c>
      <c r="F24" s="571"/>
      <c r="G24" s="571"/>
      <c r="H24" s="571"/>
      <c r="I24" s="571"/>
      <c r="J24" s="571"/>
      <c r="K24" s="571"/>
      <c r="L24" s="571" t="s">
        <v>85</v>
      </c>
      <c r="M24" s="571"/>
      <c r="N24" s="571"/>
      <c r="O24" s="571"/>
      <c r="P24" s="571"/>
      <c r="Q24" s="571"/>
      <c r="R24" s="571"/>
      <c r="S24" s="571"/>
      <c r="T24" s="571"/>
      <c r="U24" s="571" t="s">
        <v>85</v>
      </c>
      <c r="V24" s="571"/>
      <c r="W24" s="571" t="s">
        <v>85</v>
      </c>
      <c r="X24" s="571"/>
      <c r="Y24" s="571"/>
      <c r="Z24" s="571"/>
      <c r="AA24" s="571"/>
      <c r="AB24" s="571" t="s">
        <v>85</v>
      </c>
      <c r="AC24" s="571"/>
      <c r="AD24" s="571"/>
      <c r="AE24" s="571"/>
      <c r="AF24" s="571" t="s">
        <v>85</v>
      </c>
      <c r="AG24" s="571"/>
      <c r="AH24" s="571" t="s">
        <v>85</v>
      </c>
      <c r="AI24" s="571"/>
      <c r="AJ24" s="571"/>
      <c r="AK24" s="572"/>
      <c r="AL24" s="54" t="s">
        <v>71</v>
      </c>
      <c r="AM24" s="74" t="s">
        <v>83</v>
      </c>
    </row>
    <row r="25" spans="2:46" ht="14.1" customHeight="1" x14ac:dyDescent="0.25">
      <c r="B25" s="50" t="s">
        <v>76</v>
      </c>
      <c r="C25" s="69" t="s">
        <v>83</v>
      </c>
      <c r="D25" s="52" t="s">
        <v>77</v>
      </c>
      <c r="E25" s="569"/>
      <c r="F25" s="569"/>
      <c r="G25" s="569"/>
      <c r="H25" s="569"/>
      <c r="I25" s="569"/>
      <c r="J25" s="569"/>
      <c r="K25" s="569"/>
      <c r="L25" s="569"/>
      <c r="M25" s="569"/>
      <c r="N25" s="569"/>
      <c r="O25" s="569"/>
      <c r="P25" s="569"/>
      <c r="Q25" s="569" t="s">
        <v>85</v>
      </c>
      <c r="R25" s="569"/>
      <c r="S25" s="569"/>
      <c r="T25" s="569" t="s">
        <v>85</v>
      </c>
      <c r="U25" s="569"/>
      <c r="V25" s="569"/>
      <c r="W25" s="569" t="s">
        <v>85</v>
      </c>
      <c r="X25" s="569"/>
      <c r="Y25" s="569"/>
      <c r="Z25" s="569" t="s">
        <v>85</v>
      </c>
      <c r="AA25" s="569" t="s">
        <v>85</v>
      </c>
      <c r="AB25" s="569"/>
      <c r="AC25" s="569"/>
      <c r="AD25" s="569"/>
      <c r="AE25" s="569"/>
      <c r="AF25" s="569"/>
      <c r="AG25" s="569"/>
      <c r="AH25" s="569"/>
      <c r="AI25" s="569"/>
      <c r="AJ25" s="569"/>
      <c r="AK25" s="570" t="s">
        <v>85</v>
      </c>
      <c r="AL25" s="51" t="s">
        <v>77</v>
      </c>
      <c r="AM25" s="73" t="s">
        <v>83</v>
      </c>
    </row>
    <row r="26" spans="2:46" ht="14.1" customHeight="1" x14ac:dyDescent="0.25">
      <c r="B26" s="53" t="s">
        <v>66</v>
      </c>
      <c r="C26" s="70" t="s">
        <v>82</v>
      </c>
      <c r="D26" s="55" t="s">
        <v>67</v>
      </c>
      <c r="E26" s="571"/>
      <c r="F26" s="571" t="s">
        <v>85</v>
      </c>
      <c r="G26" s="571"/>
      <c r="H26" s="571" t="s">
        <v>85</v>
      </c>
      <c r="I26" s="571" t="s">
        <v>85</v>
      </c>
      <c r="J26" s="571"/>
      <c r="K26" s="571"/>
      <c r="L26" s="571"/>
      <c r="M26" s="571" t="s">
        <v>85</v>
      </c>
      <c r="N26" s="571" t="s">
        <v>85</v>
      </c>
      <c r="O26" s="571"/>
      <c r="P26" s="571"/>
      <c r="Q26" s="571"/>
      <c r="R26" s="571"/>
      <c r="S26" s="571"/>
      <c r="T26" s="571"/>
      <c r="U26" s="571" t="s">
        <v>85</v>
      </c>
      <c r="V26" s="571"/>
      <c r="W26" s="571"/>
      <c r="X26" s="571" t="s">
        <v>85</v>
      </c>
      <c r="Y26" s="571" t="s">
        <v>85</v>
      </c>
      <c r="Z26" s="571"/>
      <c r="AA26" s="571" t="s">
        <v>85</v>
      </c>
      <c r="AB26" s="571"/>
      <c r="AC26" s="571"/>
      <c r="AD26" s="571" t="s">
        <v>85</v>
      </c>
      <c r="AE26" s="571"/>
      <c r="AF26" s="571"/>
      <c r="AG26" s="571"/>
      <c r="AH26" s="571"/>
      <c r="AI26" s="571"/>
      <c r="AJ26" s="571"/>
      <c r="AK26" s="572"/>
      <c r="AL26" s="54" t="s">
        <v>67</v>
      </c>
      <c r="AM26" s="74" t="s">
        <v>82</v>
      </c>
    </row>
    <row r="27" spans="2:46" ht="14.1" customHeight="1" x14ac:dyDescent="0.25">
      <c r="B27" s="59" t="s">
        <v>78</v>
      </c>
      <c r="C27" s="71" t="s">
        <v>82</v>
      </c>
      <c r="D27" s="61" t="s">
        <v>79</v>
      </c>
      <c r="E27" s="573"/>
      <c r="F27" s="573" t="s">
        <v>85</v>
      </c>
      <c r="G27" s="573"/>
      <c r="H27" s="573"/>
      <c r="I27" s="573" t="s">
        <v>85</v>
      </c>
      <c r="J27" s="573"/>
      <c r="K27" s="573" t="s">
        <v>85</v>
      </c>
      <c r="L27" s="573"/>
      <c r="M27" s="573" t="s">
        <v>85</v>
      </c>
      <c r="N27" s="573" t="s">
        <v>85</v>
      </c>
      <c r="O27" s="573"/>
      <c r="P27" s="573"/>
      <c r="Q27" s="573" t="s">
        <v>85</v>
      </c>
      <c r="R27" s="573"/>
      <c r="S27" s="573"/>
      <c r="T27" s="573"/>
      <c r="U27" s="573" t="s">
        <v>85</v>
      </c>
      <c r="V27" s="573"/>
      <c r="W27" s="573"/>
      <c r="X27" s="573"/>
      <c r="Y27" s="573" t="s">
        <v>85</v>
      </c>
      <c r="Z27" s="573"/>
      <c r="AA27" s="573" t="s">
        <v>85</v>
      </c>
      <c r="AB27" s="573"/>
      <c r="AC27" s="573"/>
      <c r="AD27" s="573" t="s">
        <v>85</v>
      </c>
      <c r="AE27" s="573"/>
      <c r="AF27" s="573"/>
      <c r="AG27" s="573"/>
      <c r="AH27" s="573"/>
      <c r="AI27" s="573"/>
      <c r="AJ27" s="573"/>
      <c r="AK27" s="574"/>
      <c r="AL27" s="60" t="s">
        <v>79</v>
      </c>
      <c r="AM27" s="75" t="s">
        <v>82</v>
      </c>
    </row>
    <row r="28" spans="2:46" ht="90" customHeight="1" thickBot="1" x14ac:dyDescent="0.3">
      <c r="B28" s="62"/>
      <c r="C28" s="99" t="s">
        <v>139</v>
      </c>
      <c r="D28" s="64" t="s">
        <v>205</v>
      </c>
      <c r="E28" s="65" t="s">
        <v>140</v>
      </c>
      <c r="F28" s="65" t="s">
        <v>141</v>
      </c>
      <c r="G28" s="65" t="s">
        <v>142</v>
      </c>
      <c r="H28" s="65" t="s">
        <v>143</v>
      </c>
      <c r="I28" s="65" t="s">
        <v>144</v>
      </c>
      <c r="J28" s="65" t="s">
        <v>145</v>
      </c>
      <c r="K28" s="65" t="s">
        <v>146</v>
      </c>
      <c r="L28" s="65" t="s">
        <v>147</v>
      </c>
      <c r="M28" s="65" t="s">
        <v>148</v>
      </c>
      <c r="N28" s="65" t="s">
        <v>149</v>
      </c>
      <c r="O28" s="65" t="s">
        <v>150</v>
      </c>
      <c r="P28" s="65" t="s">
        <v>151</v>
      </c>
      <c r="Q28" s="65" t="s">
        <v>152</v>
      </c>
      <c r="R28" s="65" t="s">
        <v>153</v>
      </c>
      <c r="S28" s="65" t="s">
        <v>154</v>
      </c>
      <c r="T28" s="65" t="s">
        <v>155</v>
      </c>
      <c r="U28" s="65" t="s">
        <v>156</v>
      </c>
      <c r="V28" s="65" t="s">
        <v>157</v>
      </c>
      <c r="W28" s="65" t="s">
        <v>158</v>
      </c>
      <c r="X28" s="65" t="s">
        <v>159</v>
      </c>
      <c r="Y28" s="65" t="s">
        <v>160</v>
      </c>
      <c r="Z28" s="65" t="s">
        <v>161</v>
      </c>
      <c r="AA28" s="65" t="s">
        <v>162</v>
      </c>
      <c r="AB28" s="65" t="s">
        <v>163</v>
      </c>
      <c r="AC28" s="65" t="s">
        <v>164</v>
      </c>
      <c r="AD28" s="65" t="s">
        <v>165</v>
      </c>
      <c r="AE28" s="65" t="s">
        <v>826</v>
      </c>
      <c r="AF28" s="65" t="s">
        <v>203</v>
      </c>
      <c r="AG28" s="65" t="s">
        <v>204</v>
      </c>
      <c r="AH28" s="65" t="s">
        <v>166</v>
      </c>
      <c r="AI28" s="65" t="s">
        <v>167</v>
      </c>
      <c r="AJ28" s="65" t="s">
        <v>168</v>
      </c>
      <c r="AK28" s="67" t="s">
        <v>169</v>
      </c>
      <c r="AL28" s="63" t="s">
        <v>205</v>
      </c>
      <c r="AM28" s="98" t="s">
        <v>139</v>
      </c>
    </row>
    <row r="29" spans="2:46" ht="15" customHeight="1" thickTop="1" thickBot="1" x14ac:dyDescent="0.3"/>
    <row r="30" spans="2:46" ht="36" thickTop="1" thickBot="1" x14ac:dyDescent="0.3">
      <c r="B30" s="792" t="s">
        <v>246</v>
      </c>
      <c r="C30" s="793"/>
      <c r="D30" s="794" t="s">
        <v>138</v>
      </c>
      <c r="E30" s="794"/>
      <c r="F30" s="794"/>
      <c r="G30" s="794"/>
      <c r="H30" s="794"/>
      <c r="I30" s="794"/>
      <c r="J30" s="794"/>
      <c r="K30" s="794"/>
      <c r="L30" s="794"/>
      <c r="M30" s="794"/>
      <c r="N30" s="794"/>
      <c r="O30" s="794"/>
      <c r="P30" s="794"/>
      <c r="Q30" s="794"/>
      <c r="R30" s="794"/>
      <c r="S30" s="794"/>
      <c r="T30" s="794"/>
      <c r="U30" s="794"/>
      <c r="V30" s="794"/>
      <c r="W30" s="794"/>
      <c r="X30" s="794"/>
      <c r="Y30" s="794"/>
      <c r="Z30" s="794"/>
      <c r="AA30" s="794"/>
      <c r="AB30" s="794"/>
      <c r="AC30" s="794"/>
      <c r="AD30" s="794"/>
      <c r="AE30" s="794"/>
      <c r="AF30" s="794"/>
      <c r="AG30" s="794"/>
      <c r="AH30" s="794"/>
      <c r="AI30" s="794"/>
      <c r="AJ30" s="794"/>
      <c r="AK30" s="794"/>
      <c r="AL30" s="794"/>
      <c r="AM30" s="795"/>
      <c r="AP30" s="46" t="s">
        <v>114</v>
      </c>
    </row>
    <row r="31" spans="2:46" ht="46.5" thickTop="1" x14ac:dyDescent="0.25">
      <c r="B31" s="781" t="s">
        <v>107</v>
      </c>
      <c r="C31" s="782"/>
      <c r="D31" s="786" t="s">
        <v>112</v>
      </c>
      <c r="E31" s="786"/>
      <c r="F31" s="786"/>
      <c r="G31" s="786"/>
      <c r="H31" s="786"/>
      <c r="I31" s="786"/>
      <c r="J31" s="786"/>
      <c r="K31" s="786"/>
      <c r="L31" s="786"/>
      <c r="M31" s="786"/>
      <c r="N31" s="786"/>
      <c r="O31" s="786"/>
      <c r="P31" s="786"/>
      <c r="Q31" s="786"/>
      <c r="R31" s="786"/>
      <c r="S31" s="786"/>
      <c r="T31" s="786"/>
      <c r="U31" s="786"/>
      <c r="V31" s="786"/>
      <c r="W31" s="786"/>
      <c r="X31" s="786"/>
      <c r="Y31" s="786"/>
      <c r="Z31" s="786"/>
      <c r="AA31" s="786"/>
      <c r="AB31" s="786"/>
      <c r="AC31" s="786"/>
      <c r="AD31" s="786"/>
      <c r="AE31" s="786"/>
      <c r="AF31" s="786"/>
      <c r="AG31" s="786"/>
      <c r="AH31" s="786"/>
      <c r="AI31" s="786"/>
      <c r="AJ31" s="786"/>
      <c r="AK31" s="786"/>
      <c r="AL31" s="786"/>
      <c r="AM31" s="787"/>
      <c r="AN31" s="45"/>
      <c r="AP31" s="46" t="s">
        <v>113</v>
      </c>
    </row>
    <row r="32" spans="2:46" ht="57" x14ac:dyDescent="0.25">
      <c r="B32" s="779" t="s">
        <v>99</v>
      </c>
      <c r="C32" s="780"/>
      <c r="D32" s="774" t="s">
        <v>820</v>
      </c>
      <c r="E32" s="774"/>
      <c r="F32" s="774"/>
      <c r="G32" s="774"/>
      <c r="H32" s="774"/>
      <c r="I32" s="774"/>
      <c r="J32" s="774"/>
      <c r="K32" s="774"/>
      <c r="L32" s="774"/>
      <c r="M32" s="774"/>
      <c r="N32" s="774"/>
      <c r="O32" s="774"/>
      <c r="P32" s="774"/>
      <c r="Q32" s="774"/>
      <c r="R32" s="774"/>
      <c r="S32" s="774"/>
      <c r="T32" s="774"/>
      <c r="U32" s="774"/>
      <c r="V32" s="774"/>
      <c r="W32" s="774"/>
      <c r="X32" s="774"/>
      <c r="Y32" s="774"/>
      <c r="Z32" s="774"/>
      <c r="AA32" s="774"/>
      <c r="AB32" s="774"/>
      <c r="AC32" s="774"/>
      <c r="AD32" s="774"/>
      <c r="AE32" s="774"/>
      <c r="AF32" s="774"/>
      <c r="AG32" s="774"/>
      <c r="AH32" s="774"/>
      <c r="AI32" s="774"/>
      <c r="AJ32" s="774"/>
      <c r="AK32" s="774"/>
      <c r="AL32" s="774"/>
      <c r="AM32" s="775"/>
      <c r="AN32" s="45"/>
      <c r="AP32" s="46" t="s">
        <v>754</v>
      </c>
    </row>
    <row r="33" spans="2:42" ht="45.75" x14ac:dyDescent="0.25">
      <c r="B33" s="779" t="s">
        <v>108</v>
      </c>
      <c r="C33" s="780"/>
      <c r="D33" s="774" t="s">
        <v>821</v>
      </c>
      <c r="E33" s="774"/>
      <c r="F33" s="774"/>
      <c r="G33" s="774"/>
      <c r="H33" s="774"/>
      <c r="I33" s="774"/>
      <c r="J33" s="774"/>
      <c r="K33" s="774"/>
      <c r="L33" s="774"/>
      <c r="M33" s="774"/>
      <c r="N33" s="774"/>
      <c r="O33" s="774"/>
      <c r="P33" s="774"/>
      <c r="Q33" s="774"/>
      <c r="R33" s="774"/>
      <c r="S33" s="774"/>
      <c r="T33" s="774"/>
      <c r="U33" s="774"/>
      <c r="V33" s="774"/>
      <c r="W33" s="774"/>
      <c r="X33" s="774"/>
      <c r="Y33" s="774"/>
      <c r="Z33" s="774"/>
      <c r="AA33" s="774"/>
      <c r="AB33" s="774"/>
      <c r="AC33" s="774"/>
      <c r="AD33" s="774"/>
      <c r="AE33" s="774"/>
      <c r="AF33" s="774"/>
      <c r="AG33" s="774"/>
      <c r="AH33" s="774"/>
      <c r="AI33" s="774"/>
      <c r="AJ33" s="774"/>
      <c r="AK33" s="774"/>
      <c r="AL33" s="774"/>
      <c r="AM33" s="775"/>
      <c r="AN33" s="45"/>
      <c r="AP33" s="46" t="s">
        <v>113</v>
      </c>
    </row>
    <row r="34" spans="2:42" ht="23.25" x14ac:dyDescent="0.25">
      <c r="B34" s="779" t="s">
        <v>110</v>
      </c>
      <c r="C34" s="780"/>
      <c r="D34" s="776" t="s">
        <v>115</v>
      </c>
      <c r="E34" s="774"/>
      <c r="F34" s="774"/>
      <c r="G34" s="774"/>
      <c r="H34" s="774"/>
      <c r="I34" s="774"/>
      <c r="J34" s="774"/>
      <c r="K34" s="774"/>
      <c r="L34" s="774"/>
      <c r="M34" s="774"/>
      <c r="N34" s="774"/>
      <c r="O34" s="774"/>
      <c r="P34" s="774"/>
      <c r="Q34" s="774"/>
      <c r="R34" s="774"/>
      <c r="S34" s="774"/>
      <c r="T34" s="774"/>
      <c r="U34" s="774"/>
      <c r="V34" s="774"/>
      <c r="W34" s="774"/>
      <c r="X34" s="774"/>
      <c r="Y34" s="774"/>
      <c r="Z34" s="774"/>
      <c r="AA34" s="774"/>
      <c r="AB34" s="774"/>
      <c r="AC34" s="774"/>
      <c r="AD34" s="774"/>
      <c r="AE34" s="774"/>
      <c r="AF34" s="774"/>
      <c r="AG34" s="774"/>
      <c r="AH34" s="774"/>
      <c r="AI34" s="774"/>
      <c r="AJ34" s="774"/>
      <c r="AK34" s="774"/>
      <c r="AL34" s="774"/>
      <c r="AM34" s="775"/>
      <c r="AN34" s="45"/>
      <c r="AP34" s="46" t="s">
        <v>116</v>
      </c>
    </row>
    <row r="35" spans="2:42" ht="34.5" x14ac:dyDescent="0.25">
      <c r="B35" s="779" t="s">
        <v>87</v>
      </c>
      <c r="C35" s="780"/>
      <c r="D35" s="776" t="s">
        <v>527</v>
      </c>
      <c r="E35" s="774"/>
      <c r="F35" s="774"/>
      <c r="G35" s="774"/>
      <c r="H35" s="774"/>
      <c r="I35" s="774"/>
      <c r="J35" s="774"/>
      <c r="K35" s="774"/>
      <c r="L35" s="774"/>
      <c r="M35" s="774"/>
      <c r="N35" s="774"/>
      <c r="O35" s="774"/>
      <c r="P35" s="774"/>
      <c r="Q35" s="774"/>
      <c r="R35" s="774"/>
      <c r="S35" s="774"/>
      <c r="T35" s="774"/>
      <c r="U35" s="774"/>
      <c r="V35" s="774"/>
      <c r="W35" s="774"/>
      <c r="X35" s="774"/>
      <c r="Y35" s="774"/>
      <c r="Z35" s="774"/>
      <c r="AA35" s="774"/>
      <c r="AB35" s="774"/>
      <c r="AC35" s="774"/>
      <c r="AD35" s="774"/>
      <c r="AE35" s="774"/>
      <c r="AF35" s="774"/>
      <c r="AG35" s="774"/>
      <c r="AH35" s="774"/>
      <c r="AI35" s="774"/>
      <c r="AJ35" s="774"/>
      <c r="AK35" s="774"/>
      <c r="AL35" s="774"/>
      <c r="AM35" s="775"/>
      <c r="AN35" s="45"/>
      <c r="AP35" s="46" t="s">
        <v>114</v>
      </c>
    </row>
    <row r="36" spans="2:42" ht="79.5" x14ac:dyDescent="0.25">
      <c r="B36" s="779" t="s">
        <v>94</v>
      </c>
      <c r="C36" s="780"/>
      <c r="D36" s="774" t="s">
        <v>822</v>
      </c>
      <c r="E36" s="774"/>
      <c r="F36" s="774"/>
      <c r="G36" s="774"/>
      <c r="H36" s="774"/>
      <c r="I36" s="774"/>
      <c r="J36" s="774"/>
      <c r="K36" s="774"/>
      <c r="L36" s="774"/>
      <c r="M36" s="774"/>
      <c r="N36" s="774"/>
      <c r="O36" s="774"/>
      <c r="P36" s="774"/>
      <c r="Q36" s="774"/>
      <c r="R36" s="774"/>
      <c r="S36" s="774"/>
      <c r="T36" s="774"/>
      <c r="U36" s="774"/>
      <c r="V36" s="774"/>
      <c r="W36" s="774"/>
      <c r="X36" s="774"/>
      <c r="Y36" s="774"/>
      <c r="Z36" s="774"/>
      <c r="AA36" s="774"/>
      <c r="AB36" s="774"/>
      <c r="AC36" s="774"/>
      <c r="AD36" s="774"/>
      <c r="AE36" s="774"/>
      <c r="AF36" s="774"/>
      <c r="AG36" s="774"/>
      <c r="AH36" s="774"/>
      <c r="AI36" s="774"/>
      <c r="AJ36" s="774"/>
      <c r="AK36" s="774"/>
      <c r="AL36" s="774"/>
      <c r="AM36" s="775"/>
      <c r="AN36" s="45"/>
      <c r="AP36" s="46" t="s">
        <v>755</v>
      </c>
    </row>
    <row r="37" spans="2:42" ht="23.25" x14ac:dyDescent="0.25">
      <c r="B37" s="779" t="s">
        <v>823</v>
      </c>
      <c r="C37" s="780"/>
      <c r="D37" s="774" t="s">
        <v>824</v>
      </c>
      <c r="E37" s="774"/>
      <c r="F37" s="774"/>
      <c r="G37" s="774"/>
      <c r="H37" s="774"/>
      <c r="I37" s="774"/>
      <c r="J37" s="774"/>
      <c r="K37" s="774"/>
      <c r="L37" s="774"/>
      <c r="M37" s="774"/>
      <c r="N37" s="774"/>
      <c r="O37" s="774"/>
      <c r="P37" s="774"/>
      <c r="Q37" s="774"/>
      <c r="R37" s="774"/>
      <c r="S37" s="774"/>
      <c r="T37" s="774"/>
      <c r="U37" s="774"/>
      <c r="V37" s="774"/>
      <c r="W37" s="774"/>
      <c r="X37" s="774"/>
      <c r="Y37" s="774"/>
      <c r="Z37" s="774"/>
      <c r="AA37" s="774"/>
      <c r="AB37" s="774"/>
      <c r="AC37" s="774"/>
      <c r="AD37" s="774"/>
      <c r="AE37" s="774"/>
      <c r="AF37" s="774"/>
      <c r="AG37" s="774"/>
      <c r="AH37" s="774"/>
      <c r="AI37" s="774"/>
      <c r="AJ37" s="774"/>
      <c r="AK37" s="774"/>
      <c r="AL37" s="774"/>
      <c r="AM37" s="775"/>
      <c r="AN37" s="45"/>
      <c r="AP37" s="46" t="s">
        <v>116</v>
      </c>
    </row>
    <row r="38" spans="2:42" ht="34.5" x14ac:dyDescent="0.25">
      <c r="B38" s="779" t="s">
        <v>104</v>
      </c>
      <c r="C38" s="780"/>
      <c r="D38" s="774" t="s">
        <v>117</v>
      </c>
      <c r="E38" s="774"/>
      <c r="F38" s="774"/>
      <c r="G38" s="774"/>
      <c r="H38" s="774"/>
      <c r="I38" s="774"/>
      <c r="J38" s="774"/>
      <c r="K38" s="774"/>
      <c r="L38" s="774"/>
      <c r="M38" s="774"/>
      <c r="N38" s="774"/>
      <c r="O38" s="774"/>
      <c r="P38" s="774"/>
      <c r="Q38" s="774"/>
      <c r="R38" s="774"/>
      <c r="S38" s="774"/>
      <c r="T38" s="774"/>
      <c r="U38" s="774"/>
      <c r="V38" s="774"/>
      <c r="W38" s="774"/>
      <c r="X38" s="774"/>
      <c r="Y38" s="774"/>
      <c r="Z38" s="774"/>
      <c r="AA38" s="774"/>
      <c r="AB38" s="774"/>
      <c r="AC38" s="774"/>
      <c r="AD38" s="774"/>
      <c r="AE38" s="774"/>
      <c r="AF38" s="774"/>
      <c r="AG38" s="774"/>
      <c r="AH38" s="774"/>
      <c r="AI38" s="774"/>
      <c r="AJ38" s="774"/>
      <c r="AK38" s="774"/>
      <c r="AL38" s="774"/>
      <c r="AM38" s="775"/>
      <c r="AN38" s="44"/>
      <c r="AP38" s="46" t="s">
        <v>114</v>
      </c>
    </row>
    <row r="39" spans="2:42" ht="45.75" x14ac:dyDescent="0.25">
      <c r="B39" s="779" t="s">
        <v>96</v>
      </c>
      <c r="C39" s="780"/>
      <c r="D39" s="774" t="s">
        <v>827</v>
      </c>
      <c r="E39" s="774"/>
      <c r="F39" s="774"/>
      <c r="G39" s="774"/>
      <c r="H39" s="774"/>
      <c r="I39" s="774"/>
      <c r="J39" s="774"/>
      <c r="K39" s="774"/>
      <c r="L39" s="774"/>
      <c r="M39" s="774"/>
      <c r="N39" s="774"/>
      <c r="O39" s="774"/>
      <c r="P39" s="774"/>
      <c r="Q39" s="774"/>
      <c r="R39" s="774"/>
      <c r="S39" s="774"/>
      <c r="T39" s="774"/>
      <c r="U39" s="774"/>
      <c r="V39" s="774"/>
      <c r="W39" s="774"/>
      <c r="X39" s="774"/>
      <c r="Y39" s="774"/>
      <c r="Z39" s="774"/>
      <c r="AA39" s="774"/>
      <c r="AB39" s="774"/>
      <c r="AC39" s="774"/>
      <c r="AD39" s="774"/>
      <c r="AE39" s="774"/>
      <c r="AF39" s="774"/>
      <c r="AG39" s="774"/>
      <c r="AH39" s="774"/>
      <c r="AI39" s="774"/>
      <c r="AJ39" s="774"/>
      <c r="AK39" s="774"/>
      <c r="AL39" s="774"/>
      <c r="AM39" s="775"/>
      <c r="AN39" s="44"/>
      <c r="AP39" s="46" t="s">
        <v>113</v>
      </c>
    </row>
    <row r="40" spans="2:42" ht="23.25" x14ac:dyDescent="0.25">
      <c r="B40" s="779" t="s">
        <v>101</v>
      </c>
      <c r="C40" s="780"/>
      <c r="D40" s="774" t="s">
        <v>118</v>
      </c>
      <c r="E40" s="774"/>
      <c r="F40" s="774"/>
      <c r="G40" s="774"/>
      <c r="H40" s="774"/>
      <c r="I40" s="774"/>
      <c r="J40" s="774"/>
      <c r="K40" s="774"/>
      <c r="L40" s="774"/>
      <c r="M40" s="774"/>
      <c r="N40" s="774"/>
      <c r="O40" s="774"/>
      <c r="P40" s="774"/>
      <c r="Q40" s="774"/>
      <c r="R40" s="774"/>
      <c r="S40" s="774"/>
      <c r="T40" s="774"/>
      <c r="U40" s="774"/>
      <c r="V40" s="774"/>
      <c r="W40" s="774"/>
      <c r="X40" s="774"/>
      <c r="Y40" s="774"/>
      <c r="Z40" s="774"/>
      <c r="AA40" s="774"/>
      <c r="AB40" s="774"/>
      <c r="AC40" s="774"/>
      <c r="AD40" s="774"/>
      <c r="AE40" s="774"/>
      <c r="AF40" s="774"/>
      <c r="AG40" s="774"/>
      <c r="AH40" s="774"/>
      <c r="AI40" s="774"/>
      <c r="AJ40" s="774"/>
      <c r="AK40" s="774"/>
      <c r="AL40" s="774"/>
      <c r="AM40" s="775"/>
      <c r="AN40" s="44"/>
      <c r="AP40" s="46" t="s">
        <v>116</v>
      </c>
    </row>
    <row r="41" spans="2:42" ht="23.25" x14ac:dyDescent="0.25">
      <c r="B41" s="271" t="s">
        <v>120</v>
      </c>
      <c r="C41" s="272"/>
      <c r="D41" s="774" t="s">
        <v>119</v>
      </c>
      <c r="E41" s="774"/>
      <c r="F41" s="774"/>
      <c r="G41" s="774"/>
      <c r="H41" s="774"/>
      <c r="I41" s="774"/>
      <c r="J41" s="774"/>
      <c r="K41" s="774"/>
      <c r="L41" s="774"/>
      <c r="M41" s="774"/>
      <c r="N41" s="774"/>
      <c r="O41" s="774"/>
      <c r="P41" s="774"/>
      <c r="Q41" s="774"/>
      <c r="R41" s="774"/>
      <c r="S41" s="774"/>
      <c r="T41" s="774"/>
      <c r="U41" s="774"/>
      <c r="V41" s="774"/>
      <c r="W41" s="774"/>
      <c r="X41" s="774"/>
      <c r="Y41" s="774"/>
      <c r="Z41" s="774"/>
      <c r="AA41" s="774"/>
      <c r="AB41" s="774"/>
      <c r="AC41" s="774"/>
      <c r="AD41" s="774"/>
      <c r="AE41" s="774"/>
      <c r="AF41" s="774"/>
      <c r="AG41" s="774"/>
      <c r="AH41" s="774"/>
      <c r="AI41" s="774"/>
      <c r="AJ41" s="774"/>
      <c r="AK41" s="774"/>
      <c r="AL41" s="774"/>
      <c r="AM41" s="775"/>
      <c r="AN41" s="44"/>
      <c r="AP41" s="46" t="s">
        <v>116</v>
      </c>
    </row>
    <row r="42" spans="2:42" ht="57" x14ac:dyDescent="0.25">
      <c r="B42" s="779" t="s">
        <v>100</v>
      </c>
      <c r="C42" s="780"/>
      <c r="D42" s="774" t="s">
        <v>121</v>
      </c>
      <c r="E42" s="774"/>
      <c r="F42" s="774"/>
      <c r="G42" s="774"/>
      <c r="H42" s="774"/>
      <c r="I42" s="774"/>
      <c r="J42" s="774"/>
      <c r="K42" s="774"/>
      <c r="L42" s="774"/>
      <c r="M42" s="774"/>
      <c r="N42" s="774"/>
      <c r="O42" s="774"/>
      <c r="P42" s="774"/>
      <c r="Q42" s="774"/>
      <c r="R42" s="774"/>
      <c r="S42" s="774"/>
      <c r="T42" s="774"/>
      <c r="U42" s="774"/>
      <c r="V42" s="774"/>
      <c r="W42" s="774"/>
      <c r="X42" s="774"/>
      <c r="Y42" s="774"/>
      <c r="Z42" s="774"/>
      <c r="AA42" s="774"/>
      <c r="AB42" s="774"/>
      <c r="AC42" s="774"/>
      <c r="AD42" s="774"/>
      <c r="AE42" s="774"/>
      <c r="AF42" s="774"/>
      <c r="AG42" s="774"/>
      <c r="AH42" s="774"/>
      <c r="AI42" s="774"/>
      <c r="AJ42" s="774"/>
      <c r="AK42" s="774"/>
      <c r="AL42" s="774"/>
      <c r="AM42" s="775"/>
      <c r="AN42" s="44"/>
      <c r="AP42" s="46" t="s">
        <v>754</v>
      </c>
    </row>
    <row r="43" spans="2:42" ht="45.75" x14ac:dyDescent="0.25">
      <c r="B43" s="779" t="s">
        <v>106</v>
      </c>
      <c r="C43" s="780"/>
      <c r="D43" s="774" t="s">
        <v>122</v>
      </c>
      <c r="E43" s="774"/>
      <c r="F43" s="774"/>
      <c r="G43" s="774"/>
      <c r="H43" s="774"/>
      <c r="I43" s="774"/>
      <c r="J43" s="774"/>
      <c r="K43" s="774"/>
      <c r="L43" s="774"/>
      <c r="M43" s="774"/>
      <c r="N43" s="774"/>
      <c r="O43" s="774"/>
      <c r="P43" s="774"/>
      <c r="Q43" s="774"/>
      <c r="R43" s="774"/>
      <c r="S43" s="774"/>
      <c r="T43" s="774"/>
      <c r="U43" s="774"/>
      <c r="V43" s="774"/>
      <c r="W43" s="774"/>
      <c r="X43" s="774"/>
      <c r="Y43" s="774"/>
      <c r="Z43" s="774"/>
      <c r="AA43" s="774"/>
      <c r="AB43" s="774"/>
      <c r="AC43" s="774"/>
      <c r="AD43" s="774"/>
      <c r="AE43" s="774"/>
      <c r="AF43" s="774"/>
      <c r="AG43" s="774"/>
      <c r="AH43" s="774"/>
      <c r="AI43" s="774"/>
      <c r="AJ43" s="774"/>
      <c r="AK43" s="774"/>
      <c r="AL43" s="774"/>
      <c r="AM43" s="775"/>
      <c r="AN43" s="44"/>
      <c r="AP43" s="46" t="s">
        <v>113</v>
      </c>
    </row>
    <row r="44" spans="2:42" ht="34.5" x14ac:dyDescent="0.25">
      <c r="B44" s="779" t="s">
        <v>89</v>
      </c>
      <c r="C44" s="780"/>
      <c r="D44" s="776" t="s">
        <v>123</v>
      </c>
      <c r="E44" s="774"/>
      <c r="F44" s="774"/>
      <c r="G44" s="774"/>
      <c r="H44" s="774"/>
      <c r="I44" s="774"/>
      <c r="J44" s="774"/>
      <c r="K44" s="774"/>
      <c r="L44" s="774"/>
      <c r="M44" s="774"/>
      <c r="N44" s="774"/>
      <c r="O44" s="774"/>
      <c r="P44" s="774"/>
      <c r="Q44" s="774"/>
      <c r="R44" s="774"/>
      <c r="S44" s="774"/>
      <c r="T44" s="774"/>
      <c r="U44" s="774"/>
      <c r="V44" s="774"/>
      <c r="W44" s="774"/>
      <c r="X44" s="774"/>
      <c r="Y44" s="774"/>
      <c r="Z44" s="774"/>
      <c r="AA44" s="774"/>
      <c r="AB44" s="774"/>
      <c r="AC44" s="774"/>
      <c r="AD44" s="774"/>
      <c r="AE44" s="774"/>
      <c r="AF44" s="774"/>
      <c r="AG44" s="774"/>
      <c r="AH44" s="774"/>
      <c r="AI44" s="774"/>
      <c r="AJ44" s="774"/>
      <c r="AK44" s="774"/>
      <c r="AL44" s="774"/>
      <c r="AM44" s="775"/>
      <c r="AN44" s="44"/>
      <c r="AP44" s="46" t="s">
        <v>114</v>
      </c>
    </row>
    <row r="45" spans="2:42" ht="45.75" x14ac:dyDescent="0.25">
      <c r="B45" s="779" t="s">
        <v>93</v>
      </c>
      <c r="C45" s="780"/>
      <c r="D45" s="774" t="s">
        <v>124</v>
      </c>
      <c r="E45" s="774"/>
      <c r="F45" s="774"/>
      <c r="G45" s="774"/>
      <c r="H45" s="774"/>
      <c r="I45" s="774"/>
      <c r="J45" s="774"/>
      <c r="K45" s="774"/>
      <c r="L45" s="774"/>
      <c r="M45" s="774"/>
      <c r="N45" s="774"/>
      <c r="O45" s="774"/>
      <c r="P45" s="774"/>
      <c r="Q45" s="774"/>
      <c r="R45" s="774"/>
      <c r="S45" s="774"/>
      <c r="T45" s="774"/>
      <c r="U45" s="774"/>
      <c r="V45" s="774"/>
      <c r="W45" s="774"/>
      <c r="X45" s="774"/>
      <c r="Y45" s="774"/>
      <c r="Z45" s="774"/>
      <c r="AA45" s="774"/>
      <c r="AB45" s="774"/>
      <c r="AC45" s="774"/>
      <c r="AD45" s="774"/>
      <c r="AE45" s="774"/>
      <c r="AF45" s="774"/>
      <c r="AG45" s="774"/>
      <c r="AH45" s="774"/>
      <c r="AI45" s="774"/>
      <c r="AJ45" s="774"/>
      <c r="AK45" s="774"/>
      <c r="AL45" s="774"/>
      <c r="AM45" s="775"/>
      <c r="AN45" s="44"/>
      <c r="AP45" s="46" t="s">
        <v>113</v>
      </c>
    </row>
    <row r="46" spans="2:42" ht="23.25" x14ac:dyDescent="0.25">
      <c r="B46" s="779" t="s">
        <v>88</v>
      </c>
      <c r="C46" s="780"/>
      <c r="D46" s="776" t="s">
        <v>125</v>
      </c>
      <c r="E46" s="774"/>
      <c r="F46" s="774"/>
      <c r="G46" s="774"/>
      <c r="H46" s="774"/>
      <c r="I46" s="774"/>
      <c r="J46" s="774"/>
      <c r="K46" s="774"/>
      <c r="L46" s="774"/>
      <c r="M46" s="774"/>
      <c r="N46" s="774"/>
      <c r="O46" s="774"/>
      <c r="P46" s="774"/>
      <c r="Q46" s="774"/>
      <c r="R46" s="774"/>
      <c r="S46" s="774"/>
      <c r="T46" s="774"/>
      <c r="U46" s="774"/>
      <c r="V46" s="774"/>
      <c r="W46" s="774"/>
      <c r="X46" s="774"/>
      <c r="Y46" s="774"/>
      <c r="Z46" s="774"/>
      <c r="AA46" s="774"/>
      <c r="AB46" s="774"/>
      <c r="AC46" s="774"/>
      <c r="AD46" s="774"/>
      <c r="AE46" s="774"/>
      <c r="AF46" s="774"/>
      <c r="AG46" s="774"/>
      <c r="AH46" s="774"/>
      <c r="AI46" s="774"/>
      <c r="AJ46" s="774"/>
      <c r="AK46" s="774"/>
      <c r="AL46" s="774"/>
      <c r="AM46" s="775"/>
      <c r="AN46" s="44"/>
      <c r="AP46" s="46" t="s">
        <v>116</v>
      </c>
    </row>
    <row r="47" spans="2:42" ht="45.75" x14ac:dyDescent="0.25">
      <c r="B47" s="779" t="s">
        <v>92</v>
      </c>
      <c r="C47" s="780"/>
      <c r="D47" s="776" t="s">
        <v>126</v>
      </c>
      <c r="E47" s="774"/>
      <c r="F47" s="774"/>
      <c r="G47" s="774"/>
      <c r="H47" s="774"/>
      <c r="I47" s="774"/>
      <c r="J47" s="774"/>
      <c r="K47" s="774"/>
      <c r="L47" s="774"/>
      <c r="M47" s="774"/>
      <c r="N47" s="774"/>
      <c r="O47" s="774"/>
      <c r="P47" s="774"/>
      <c r="Q47" s="774"/>
      <c r="R47" s="774"/>
      <c r="S47" s="774"/>
      <c r="T47" s="774"/>
      <c r="U47" s="774"/>
      <c r="V47" s="774"/>
      <c r="W47" s="774"/>
      <c r="X47" s="774"/>
      <c r="Y47" s="774"/>
      <c r="Z47" s="774"/>
      <c r="AA47" s="774"/>
      <c r="AB47" s="774"/>
      <c r="AC47" s="774"/>
      <c r="AD47" s="774"/>
      <c r="AE47" s="774"/>
      <c r="AF47" s="774"/>
      <c r="AG47" s="774"/>
      <c r="AH47" s="774"/>
      <c r="AI47" s="774"/>
      <c r="AJ47" s="774"/>
      <c r="AK47" s="774"/>
      <c r="AL47" s="774"/>
      <c r="AM47" s="775"/>
      <c r="AN47" s="44"/>
      <c r="AP47" s="46" t="s">
        <v>113</v>
      </c>
    </row>
    <row r="48" spans="2:42" ht="23.25" x14ac:dyDescent="0.25">
      <c r="B48" s="779" t="s">
        <v>111</v>
      </c>
      <c r="C48" s="780"/>
      <c r="D48" s="774" t="s">
        <v>128</v>
      </c>
      <c r="E48" s="774"/>
      <c r="F48" s="774"/>
      <c r="G48" s="774"/>
      <c r="H48" s="774"/>
      <c r="I48" s="774"/>
      <c r="J48" s="774"/>
      <c r="K48" s="774"/>
      <c r="L48" s="774"/>
      <c r="M48" s="774"/>
      <c r="N48" s="774"/>
      <c r="O48" s="774"/>
      <c r="P48" s="774"/>
      <c r="Q48" s="774"/>
      <c r="R48" s="774"/>
      <c r="S48" s="774"/>
      <c r="T48" s="774"/>
      <c r="U48" s="774"/>
      <c r="V48" s="774"/>
      <c r="W48" s="774"/>
      <c r="X48" s="774"/>
      <c r="Y48" s="774"/>
      <c r="Z48" s="774"/>
      <c r="AA48" s="774"/>
      <c r="AB48" s="774"/>
      <c r="AC48" s="774"/>
      <c r="AD48" s="774"/>
      <c r="AE48" s="774"/>
      <c r="AF48" s="774"/>
      <c r="AG48" s="774"/>
      <c r="AH48" s="774"/>
      <c r="AI48" s="774"/>
      <c r="AJ48" s="774"/>
      <c r="AK48" s="774"/>
      <c r="AL48" s="774"/>
      <c r="AM48" s="775"/>
      <c r="AN48" s="44"/>
      <c r="AP48" s="46" t="s">
        <v>116</v>
      </c>
    </row>
    <row r="49" spans="2:42" ht="45.75" x14ac:dyDescent="0.25">
      <c r="B49" s="779" t="s">
        <v>98</v>
      </c>
      <c r="C49" s="780"/>
      <c r="D49" s="774" t="s">
        <v>129</v>
      </c>
      <c r="E49" s="774"/>
      <c r="F49" s="774"/>
      <c r="G49" s="774"/>
      <c r="H49" s="774"/>
      <c r="I49" s="774"/>
      <c r="J49" s="774"/>
      <c r="K49" s="774"/>
      <c r="L49" s="774"/>
      <c r="M49" s="774"/>
      <c r="N49" s="774"/>
      <c r="O49" s="774"/>
      <c r="P49" s="774"/>
      <c r="Q49" s="774"/>
      <c r="R49" s="774"/>
      <c r="S49" s="774"/>
      <c r="T49" s="774"/>
      <c r="U49" s="774"/>
      <c r="V49" s="774"/>
      <c r="W49" s="774"/>
      <c r="X49" s="774"/>
      <c r="Y49" s="774"/>
      <c r="Z49" s="774"/>
      <c r="AA49" s="774"/>
      <c r="AB49" s="774"/>
      <c r="AC49" s="774"/>
      <c r="AD49" s="774"/>
      <c r="AE49" s="774"/>
      <c r="AF49" s="774"/>
      <c r="AG49" s="774"/>
      <c r="AH49" s="774"/>
      <c r="AI49" s="774"/>
      <c r="AJ49" s="774"/>
      <c r="AK49" s="774"/>
      <c r="AL49" s="774"/>
      <c r="AM49" s="775"/>
      <c r="AN49" s="44"/>
      <c r="AP49" s="46" t="s">
        <v>113</v>
      </c>
    </row>
    <row r="50" spans="2:42" ht="34.5" x14ac:dyDescent="0.25">
      <c r="B50" s="779" t="s">
        <v>97</v>
      </c>
      <c r="C50" s="780"/>
      <c r="D50" s="774" t="s">
        <v>130</v>
      </c>
      <c r="E50" s="774"/>
      <c r="F50" s="774"/>
      <c r="G50" s="774"/>
      <c r="H50" s="774"/>
      <c r="I50" s="774"/>
      <c r="J50" s="774"/>
      <c r="K50" s="774"/>
      <c r="L50" s="774"/>
      <c r="M50" s="774"/>
      <c r="N50" s="774"/>
      <c r="O50" s="774"/>
      <c r="P50" s="774"/>
      <c r="Q50" s="774"/>
      <c r="R50" s="774"/>
      <c r="S50" s="774"/>
      <c r="T50" s="774"/>
      <c r="U50" s="774"/>
      <c r="V50" s="774"/>
      <c r="W50" s="774"/>
      <c r="X50" s="774"/>
      <c r="Y50" s="774"/>
      <c r="Z50" s="774"/>
      <c r="AA50" s="774"/>
      <c r="AB50" s="774"/>
      <c r="AC50" s="774"/>
      <c r="AD50" s="774"/>
      <c r="AE50" s="774"/>
      <c r="AF50" s="774"/>
      <c r="AG50" s="774"/>
      <c r="AH50" s="774"/>
      <c r="AI50" s="774"/>
      <c r="AJ50" s="774"/>
      <c r="AK50" s="774"/>
      <c r="AL50" s="774"/>
      <c r="AM50" s="775"/>
      <c r="AN50" s="44"/>
      <c r="AP50" s="46" t="s">
        <v>114</v>
      </c>
    </row>
    <row r="51" spans="2:42" ht="45.75" x14ac:dyDescent="0.25">
      <c r="B51" s="779" t="s">
        <v>95</v>
      </c>
      <c r="C51" s="780"/>
      <c r="D51" s="776" t="s">
        <v>828</v>
      </c>
      <c r="E51" s="774"/>
      <c r="F51" s="774"/>
      <c r="G51" s="774"/>
      <c r="H51" s="774"/>
      <c r="I51" s="774"/>
      <c r="J51" s="774"/>
      <c r="K51" s="774"/>
      <c r="L51" s="774"/>
      <c r="M51" s="774"/>
      <c r="N51" s="774"/>
      <c r="O51" s="774"/>
      <c r="P51" s="774"/>
      <c r="Q51" s="774"/>
      <c r="R51" s="774"/>
      <c r="S51" s="774"/>
      <c r="T51" s="774"/>
      <c r="U51" s="774"/>
      <c r="V51" s="774"/>
      <c r="W51" s="774"/>
      <c r="X51" s="774"/>
      <c r="Y51" s="774"/>
      <c r="Z51" s="774"/>
      <c r="AA51" s="774"/>
      <c r="AB51" s="774"/>
      <c r="AC51" s="774"/>
      <c r="AD51" s="774"/>
      <c r="AE51" s="774"/>
      <c r="AF51" s="774"/>
      <c r="AG51" s="774"/>
      <c r="AH51" s="774"/>
      <c r="AI51" s="774"/>
      <c r="AJ51" s="774"/>
      <c r="AK51" s="774"/>
      <c r="AL51" s="774"/>
      <c r="AM51" s="775"/>
      <c r="AN51" s="44"/>
      <c r="AP51" s="46" t="s">
        <v>113</v>
      </c>
    </row>
    <row r="52" spans="2:42" ht="23.25" x14ac:dyDescent="0.25">
      <c r="B52" s="779" t="s">
        <v>103</v>
      </c>
      <c r="C52" s="780"/>
      <c r="D52" s="774" t="s">
        <v>131</v>
      </c>
      <c r="E52" s="774"/>
      <c r="F52" s="774"/>
      <c r="G52" s="774"/>
      <c r="H52" s="774"/>
      <c r="I52" s="774"/>
      <c r="J52" s="774"/>
      <c r="K52" s="774"/>
      <c r="L52" s="774"/>
      <c r="M52" s="774"/>
      <c r="N52" s="774"/>
      <c r="O52" s="774"/>
      <c r="P52" s="774"/>
      <c r="Q52" s="774"/>
      <c r="R52" s="774"/>
      <c r="S52" s="774"/>
      <c r="T52" s="774"/>
      <c r="U52" s="774"/>
      <c r="V52" s="774"/>
      <c r="W52" s="774"/>
      <c r="X52" s="774"/>
      <c r="Y52" s="774"/>
      <c r="Z52" s="774"/>
      <c r="AA52" s="774"/>
      <c r="AB52" s="774"/>
      <c r="AC52" s="774"/>
      <c r="AD52" s="774"/>
      <c r="AE52" s="774"/>
      <c r="AF52" s="774"/>
      <c r="AG52" s="774"/>
      <c r="AH52" s="774"/>
      <c r="AI52" s="774"/>
      <c r="AJ52" s="774"/>
      <c r="AK52" s="774"/>
      <c r="AL52" s="774"/>
      <c r="AM52" s="775"/>
      <c r="AN52" s="44"/>
      <c r="AP52" s="46" t="s">
        <v>116</v>
      </c>
    </row>
    <row r="53" spans="2:42" ht="57" x14ac:dyDescent="0.25">
      <c r="B53" s="779" t="s">
        <v>109</v>
      </c>
      <c r="C53" s="780"/>
      <c r="D53" s="774" t="s">
        <v>829</v>
      </c>
      <c r="E53" s="774"/>
      <c r="F53" s="774"/>
      <c r="G53" s="774"/>
      <c r="H53" s="774"/>
      <c r="I53" s="774"/>
      <c r="J53" s="774"/>
      <c r="K53" s="774"/>
      <c r="L53" s="774"/>
      <c r="M53" s="774"/>
      <c r="N53" s="774"/>
      <c r="O53" s="774"/>
      <c r="P53" s="774"/>
      <c r="Q53" s="774"/>
      <c r="R53" s="774"/>
      <c r="S53" s="774"/>
      <c r="T53" s="774"/>
      <c r="U53" s="774"/>
      <c r="V53" s="774"/>
      <c r="W53" s="774"/>
      <c r="X53" s="774"/>
      <c r="Y53" s="774"/>
      <c r="Z53" s="774"/>
      <c r="AA53" s="774"/>
      <c r="AB53" s="774"/>
      <c r="AC53" s="774"/>
      <c r="AD53" s="774"/>
      <c r="AE53" s="774"/>
      <c r="AF53" s="774"/>
      <c r="AG53" s="774"/>
      <c r="AH53" s="774"/>
      <c r="AI53" s="774"/>
      <c r="AJ53" s="774"/>
      <c r="AK53" s="774"/>
      <c r="AL53" s="774"/>
      <c r="AM53" s="775"/>
      <c r="AN53" s="44"/>
      <c r="AP53" s="46" t="s">
        <v>754</v>
      </c>
    </row>
    <row r="54" spans="2:42" ht="34.5" x14ac:dyDescent="0.25">
      <c r="B54" s="779" t="s">
        <v>105</v>
      </c>
      <c r="C54" s="780"/>
      <c r="D54" s="774" t="s">
        <v>830</v>
      </c>
      <c r="E54" s="774"/>
      <c r="F54" s="774"/>
      <c r="G54" s="774"/>
      <c r="H54" s="774"/>
      <c r="I54" s="774"/>
      <c r="J54" s="774"/>
      <c r="K54" s="774"/>
      <c r="L54" s="774"/>
      <c r="M54" s="774"/>
      <c r="N54" s="774"/>
      <c r="O54" s="774"/>
      <c r="P54" s="774"/>
      <c r="Q54" s="774"/>
      <c r="R54" s="774"/>
      <c r="S54" s="774"/>
      <c r="T54" s="774"/>
      <c r="U54" s="774"/>
      <c r="V54" s="774"/>
      <c r="W54" s="774"/>
      <c r="X54" s="774"/>
      <c r="Y54" s="774"/>
      <c r="Z54" s="774"/>
      <c r="AA54" s="774"/>
      <c r="AB54" s="774"/>
      <c r="AC54" s="774"/>
      <c r="AD54" s="774"/>
      <c r="AE54" s="774"/>
      <c r="AF54" s="774"/>
      <c r="AG54" s="774"/>
      <c r="AH54" s="774"/>
      <c r="AI54" s="774"/>
      <c r="AJ54" s="774"/>
      <c r="AK54" s="774"/>
      <c r="AL54" s="774"/>
      <c r="AM54" s="775"/>
      <c r="AN54" s="44"/>
      <c r="AP54" s="46" t="s">
        <v>114</v>
      </c>
    </row>
    <row r="55" spans="2:42" ht="45.75" x14ac:dyDescent="0.25">
      <c r="B55" s="779" t="s">
        <v>90</v>
      </c>
      <c r="C55" s="780"/>
      <c r="D55" s="774" t="s">
        <v>132</v>
      </c>
      <c r="E55" s="774"/>
      <c r="F55" s="774"/>
      <c r="G55" s="774"/>
      <c r="H55" s="774"/>
      <c r="I55" s="774"/>
      <c r="J55" s="774"/>
      <c r="K55" s="774"/>
      <c r="L55" s="774"/>
      <c r="M55" s="774"/>
      <c r="N55" s="774"/>
      <c r="O55" s="774"/>
      <c r="P55" s="774"/>
      <c r="Q55" s="774"/>
      <c r="R55" s="774"/>
      <c r="S55" s="774"/>
      <c r="T55" s="774"/>
      <c r="U55" s="774"/>
      <c r="V55" s="774"/>
      <c r="W55" s="774"/>
      <c r="X55" s="774"/>
      <c r="Y55" s="774"/>
      <c r="Z55" s="774"/>
      <c r="AA55" s="774"/>
      <c r="AB55" s="774"/>
      <c r="AC55" s="774"/>
      <c r="AD55" s="774"/>
      <c r="AE55" s="774"/>
      <c r="AF55" s="774"/>
      <c r="AG55" s="774"/>
      <c r="AH55" s="774"/>
      <c r="AI55" s="774"/>
      <c r="AJ55" s="774"/>
      <c r="AK55" s="774"/>
      <c r="AL55" s="774"/>
      <c r="AM55" s="775"/>
      <c r="AN55" s="44"/>
      <c r="AP55" s="46" t="s">
        <v>113</v>
      </c>
    </row>
    <row r="56" spans="2:42" ht="23.25" x14ac:dyDescent="0.25">
      <c r="B56" s="779" t="s">
        <v>91</v>
      </c>
      <c r="C56" s="780"/>
      <c r="D56" s="774" t="s">
        <v>127</v>
      </c>
      <c r="E56" s="774"/>
      <c r="F56" s="774"/>
      <c r="G56" s="774"/>
      <c r="H56" s="774"/>
      <c r="I56" s="774"/>
      <c r="J56" s="774"/>
      <c r="K56" s="774"/>
      <c r="L56" s="774"/>
      <c r="M56" s="774"/>
      <c r="N56" s="774"/>
      <c r="O56" s="774"/>
      <c r="P56" s="774"/>
      <c r="Q56" s="774"/>
      <c r="R56" s="774"/>
      <c r="S56" s="774"/>
      <c r="T56" s="774"/>
      <c r="U56" s="774"/>
      <c r="V56" s="774"/>
      <c r="W56" s="774"/>
      <c r="X56" s="774"/>
      <c r="Y56" s="774"/>
      <c r="Z56" s="774"/>
      <c r="AA56" s="774"/>
      <c r="AB56" s="774"/>
      <c r="AC56" s="774"/>
      <c r="AD56" s="774"/>
      <c r="AE56" s="774"/>
      <c r="AF56" s="774"/>
      <c r="AG56" s="774"/>
      <c r="AH56" s="774"/>
      <c r="AI56" s="774"/>
      <c r="AJ56" s="774"/>
      <c r="AK56" s="774"/>
      <c r="AL56" s="774"/>
      <c r="AM56" s="775"/>
      <c r="AN56" s="44"/>
      <c r="AP56" s="46" t="s">
        <v>116</v>
      </c>
    </row>
    <row r="57" spans="2:42" ht="34.5" x14ac:dyDescent="0.25">
      <c r="B57" s="779" t="s">
        <v>102</v>
      </c>
      <c r="C57" s="780"/>
      <c r="D57" s="774" t="s">
        <v>133</v>
      </c>
      <c r="E57" s="774"/>
      <c r="F57" s="774"/>
      <c r="G57" s="774"/>
      <c r="H57" s="774"/>
      <c r="I57" s="774"/>
      <c r="J57" s="774"/>
      <c r="K57" s="774"/>
      <c r="L57" s="774"/>
      <c r="M57" s="774"/>
      <c r="N57" s="774"/>
      <c r="O57" s="774"/>
      <c r="P57" s="774"/>
      <c r="Q57" s="774"/>
      <c r="R57" s="774"/>
      <c r="S57" s="774"/>
      <c r="T57" s="774"/>
      <c r="U57" s="774"/>
      <c r="V57" s="774"/>
      <c r="W57" s="774"/>
      <c r="X57" s="774"/>
      <c r="Y57" s="774"/>
      <c r="Z57" s="774"/>
      <c r="AA57" s="774"/>
      <c r="AB57" s="774"/>
      <c r="AC57" s="774"/>
      <c r="AD57" s="774"/>
      <c r="AE57" s="774"/>
      <c r="AF57" s="774"/>
      <c r="AG57" s="774"/>
      <c r="AH57" s="774"/>
      <c r="AI57" s="774"/>
      <c r="AJ57" s="774"/>
      <c r="AK57" s="774"/>
      <c r="AL57" s="774"/>
      <c r="AM57" s="775"/>
      <c r="AN57" s="44"/>
      <c r="AP57" s="46" t="s">
        <v>114</v>
      </c>
    </row>
    <row r="58" spans="2:42" ht="90.75" x14ac:dyDescent="0.25">
      <c r="B58" s="779" t="s">
        <v>207</v>
      </c>
      <c r="C58" s="780"/>
      <c r="D58" s="774" t="s">
        <v>137</v>
      </c>
      <c r="E58" s="774"/>
      <c r="F58" s="774"/>
      <c r="G58" s="774"/>
      <c r="H58" s="774"/>
      <c r="I58" s="774"/>
      <c r="J58" s="774"/>
      <c r="K58" s="774"/>
      <c r="L58" s="774"/>
      <c r="M58" s="774"/>
      <c r="N58" s="774"/>
      <c r="O58" s="774"/>
      <c r="P58" s="774"/>
      <c r="Q58" s="774"/>
      <c r="R58" s="774"/>
      <c r="S58" s="774"/>
      <c r="T58" s="774"/>
      <c r="U58" s="774"/>
      <c r="V58" s="774"/>
      <c r="W58" s="774"/>
      <c r="X58" s="774"/>
      <c r="Y58" s="774"/>
      <c r="Z58" s="774"/>
      <c r="AA58" s="774"/>
      <c r="AB58" s="774"/>
      <c r="AC58" s="774"/>
      <c r="AD58" s="774"/>
      <c r="AE58" s="774"/>
      <c r="AF58" s="774"/>
      <c r="AG58" s="774"/>
      <c r="AH58" s="774"/>
      <c r="AI58" s="774"/>
      <c r="AJ58" s="774"/>
      <c r="AK58" s="774"/>
      <c r="AL58" s="774"/>
      <c r="AM58" s="775"/>
      <c r="AN58" s="44"/>
      <c r="AP58" s="46" t="s">
        <v>136</v>
      </c>
    </row>
    <row r="59" spans="2:42" ht="34.5" x14ac:dyDescent="0.25">
      <c r="B59" s="796" t="s">
        <v>134</v>
      </c>
      <c r="C59" s="797"/>
      <c r="D59" s="788" t="s">
        <v>752</v>
      </c>
      <c r="E59" s="788"/>
      <c r="F59" s="788"/>
      <c r="G59" s="788"/>
      <c r="H59" s="788"/>
      <c r="I59" s="788"/>
      <c r="J59" s="788"/>
      <c r="K59" s="788"/>
      <c r="L59" s="788"/>
      <c r="M59" s="788"/>
      <c r="N59" s="788"/>
      <c r="O59" s="788"/>
      <c r="P59" s="788"/>
      <c r="Q59" s="788"/>
      <c r="R59" s="788"/>
      <c r="S59" s="788"/>
      <c r="T59" s="788"/>
      <c r="U59" s="788"/>
      <c r="V59" s="788"/>
      <c r="W59" s="788"/>
      <c r="X59" s="788"/>
      <c r="Y59" s="788"/>
      <c r="Z59" s="788"/>
      <c r="AA59" s="788"/>
      <c r="AB59" s="788"/>
      <c r="AC59" s="788"/>
      <c r="AD59" s="788"/>
      <c r="AE59" s="788"/>
      <c r="AF59" s="788"/>
      <c r="AG59" s="788"/>
      <c r="AH59" s="788"/>
      <c r="AI59" s="788"/>
      <c r="AJ59" s="788"/>
      <c r="AK59" s="788"/>
      <c r="AL59" s="788"/>
      <c r="AM59" s="789"/>
      <c r="AN59" s="44"/>
      <c r="AP59" s="46" t="s">
        <v>114</v>
      </c>
    </row>
    <row r="60" spans="2:42" ht="35.25" thickBot="1" x14ac:dyDescent="0.3">
      <c r="B60" s="783" t="s">
        <v>135</v>
      </c>
      <c r="C60" s="784"/>
      <c r="D60" s="790" t="s">
        <v>753</v>
      </c>
      <c r="E60" s="790"/>
      <c r="F60" s="790"/>
      <c r="G60" s="790"/>
      <c r="H60" s="790"/>
      <c r="I60" s="790"/>
      <c r="J60" s="790"/>
      <c r="K60" s="790"/>
      <c r="L60" s="790"/>
      <c r="M60" s="790"/>
      <c r="N60" s="790"/>
      <c r="O60" s="790"/>
      <c r="P60" s="790"/>
      <c r="Q60" s="790"/>
      <c r="R60" s="790"/>
      <c r="S60" s="790"/>
      <c r="T60" s="790"/>
      <c r="U60" s="790"/>
      <c r="V60" s="790"/>
      <c r="W60" s="790"/>
      <c r="X60" s="790"/>
      <c r="Y60" s="790"/>
      <c r="Z60" s="790"/>
      <c r="AA60" s="790"/>
      <c r="AB60" s="790"/>
      <c r="AC60" s="790"/>
      <c r="AD60" s="790"/>
      <c r="AE60" s="790"/>
      <c r="AF60" s="790"/>
      <c r="AG60" s="790"/>
      <c r="AH60" s="790"/>
      <c r="AI60" s="790"/>
      <c r="AJ60" s="790"/>
      <c r="AK60" s="790"/>
      <c r="AL60" s="790"/>
      <c r="AM60" s="791"/>
      <c r="AN60" s="44"/>
      <c r="AP60" s="46" t="s">
        <v>114</v>
      </c>
    </row>
    <row r="61" spans="2:42" ht="15.75" thickTop="1" x14ac:dyDescent="0.25"/>
  </sheetData>
  <sheetProtection password="EBBE" sheet="1" objects="1" scenarios="1"/>
  <sortState ref="B29:C53">
    <sortCondition ref="B29"/>
  </sortState>
  <mergeCells count="63">
    <mergeCell ref="D59:AM59"/>
    <mergeCell ref="D56:AM56"/>
    <mergeCell ref="D60:AM60"/>
    <mergeCell ref="B30:C30"/>
    <mergeCell ref="D30:AM30"/>
    <mergeCell ref="D41:AM41"/>
    <mergeCell ref="B57:C57"/>
    <mergeCell ref="D57:AM57"/>
    <mergeCell ref="B58:C58"/>
    <mergeCell ref="D58:AM58"/>
    <mergeCell ref="B59:C59"/>
    <mergeCell ref="D50:AM50"/>
    <mergeCell ref="D51:AM51"/>
    <mergeCell ref="D52:AM52"/>
    <mergeCell ref="D53:AM53"/>
    <mergeCell ref="D54:AM54"/>
    <mergeCell ref="B1:AM1"/>
    <mergeCell ref="D31:AM31"/>
    <mergeCell ref="D32:AM32"/>
    <mergeCell ref="D33:AM33"/>
    <mergeCell ref="D55:AM55"/>
    <mergeCell ref="D38:AM38"/>
    <mergeCell ref="D39:AM39"/>
    <mergeCell ref="D40:AM40"/>
    <mergeCell ref="D42:AM42"/>
    <mergeCell ref="D43:AM43"/>
    <mergeCell ref="D44:AM44"/>
    <mergeCell ref="D45:AM45"/>
    <mergeCell ref="D46:AM46"/>
    <mergeCell ref="D47:AM47"/>
    <mergeCell ref="D48:AM48"/>
    <mergeCell ref="D49:AM49"/>
    <mergeCell ref="B40:C40"/>
    <mergeCell ref="B39:C39"/>
    <mergeCell ref="B38:C38"/>
    <mergeCell ref="B36:C36"/>
    <mergeCell ref="B35:C35"/>
    <mergeCell ref="B37:C37"/>
    <mergeCell ref="B55:C55"/>
    <mergeCell ref="B60:C60"/>
    <mergeCell ref="B56:C56"/>
    <mergeCell ref="B54:C54"/>
    <mergeCell ref="B53:C53"/>
    <mergeCell ref="B52:C52"/>
    <mergeCell ref="B45:C45"/>
    <mergeCell ref="B44:C44"/>
    <mergeCell ref="B43:C43"/>
    <mergeCell ref="B42:C42"/>
    <mergeCell ref="B51:C51"/>
    <mergeCell ref="B50:C50"/>
    <mergeCell ref="B49:C49"/>
    <mergeCell ref="B48:C48"/>
    <mergeCell ref="B47:C47"/>
    <mergeCell ref="B46:C46"/>
    <mergeCell ref="D37:AM37"/>
    <mergeCell ref="D34:AM34"/>
    <mergeCell ref="D35:AM35"/>
    <mergeCell ref="D36:AM36"/>
    <mergeCell ref="B2:AM2"/>
    <mergeCell ref="B34:C34"/>
    <mergeCell ref="B33:C33"/>
    <mergeCell ref="B32:C32"/>
    <mergeCell ref="B31:C31"/>
  </mergeCells>
  <printOptions horizontalCentered="1"/>
  <pageMargins left="0.5" right="0.5" top="0.3" bottom="0.3" header="0.2" footer="0.2"/>
  <pageSetup scale="83" orientation="landscape" r:id="rId1"/>
  <rowBreaks count="1" manualBreakCount="1">
    <brk id="29" max="38" man="1"/>
  </rowBreaks>
  <pictur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00000"/>
    <pageSetUpPr fitToPage="1"/>
  </sheetPr>
  <dimension ref="B1:H50"/>
  <sheetViews>
    <sheetView showGridLines="0" showRowColHeaders="0" zoomScale="90" zoomScaleNormal="90" workbookViewId="0">
      <pane ySplit="3" topLeftCell="A4" activePane="bottomLeft" state="frozen"/>
      <selection pane="bottomLeft" activeCell="A4" sqref="A4"/>
    </sheetView>
  </sheetViews>
  <sheetFormatPr defaultColWidth="9.140625" defaultRowHeight="15" x14ac:dyDescent="0.25"/>
  <cols>
    <col min="1" max="1" width="4.7109375" style="43" customWidth="1"/>
    <col min="2" max="2" width="0.42578125" style="43" customWidth="1"/>
    <col min="3" max="3" width="15.28515625" style="175" customWidth="1"/>
    <col min="4" max="4" width="41.140625" style="43" customWidth="1"/>
    <col min="5" max="6" width="13.85546875" style="106" customWidth="1"/>
    <col min="7" max="7" width="0.42578125" style="43" customWidth="1"/>
    <col min="8" max="8" width="4.7109375" style="43" customWidth="1"/>
    <col min="9" max="16384" width="9.140625" style="43"/>
  </cols>
  <sheetData>
    <row r="1" spans="2:8" ht="18" customHeight="1" x14ac:dyDescent="0.25">
      <c r="B1" s="801" t="s">
        <v>367</v>
      </c>
      <c r="C1" s="801"/>
      <c r="D1" s="801"/>
      <c r="E1" s="801"/>
      <c r="F1" s="801"/>
      <c r="G1" s="801"/>
    </row>
    <row r="2" spans="2:8" ht="3.95" customHeight="1" thickBot="1" x14ac:dyDescent="0.3">
      <c r="C2" s="135"/>
      <c r="D2" s="136"/>
      <c r="E2" s="136"/>
      <c r="F2" s="136"/>
    </row>
    <row r="3" spans="2:8" s="144" customFormat="1" ht="35.25" customHeight="1" thickTop="1" thickBot="1" x14ac:dyDescent="0.3">
      <c r="B3" s="137"/>
      <c r="C3" s="138" t="s">
        <v>368</v>
      </c>
      <c r="D3" s="139" t="s">
        <v>369</v>
      </c>
      <c r="E3" s="140" t="s">
        <v>370</v>
      </c>
      <c r="F3" s="141" t="s">
        <v>371</v>
      </c>
      <c r="G3" s="142"/>
      <c r="H3" s="143"/>
    </row>
    <row r="4" spans="2:8" s="143" customFormat="1" ht="3.95" customHeight="1" thickTop="1" thickBot="1" x14ac:dyDescent="0.3">
      <c r="E4" s="145"/>
      <c r="F4" s="145"/>
    </row>
    <row r="5" spans="2:8" ht="15.75" thickTop="1" x14ac:dyDescent="0.25">
      <c r="B5" s="146"/>
      <c r="C5" s="798" t="s">
        <v>372</v>
      </c>
      <c r="D5" s="147" t="s">
        <v>372</v>
      </c>
      <c r="E5" s="148">
        <v>250</v>
      </c>
      <c r="F5" s="149">
        <f>E5*4</f>
        <v>1000</v>
      </c>
      <c r="G5" s="150"/>
    </row>
    <row r="6" spans="2:8" x14ac:dyDescent="0.25">
      <c r="B6" s="151"/>
      <c r="C6" s="800"/>
      <c r="D6" s="152" t="s">
        <v>373</v>
      </c>
      <c r="E6" s="153">
        <v>100</v>
      </c>
      <c r="F6" s="154">
        <f t="shared" ref="F6:F40" si="0">E6*4</f>
        <v>400</v>
      </c>
      <c r="G6" s="155"/>
    </row>
    <row r="7" spans="2:8" ht="15.75" thickBot="1" x14ac:dyDescent="0.3">
      <c r="B7" s="156"/>
      <c r="C7" s="799"/>
      <c r="D7" s="157" t="s">
        <v>374</v>
      </c>
      <c r="E7" s="158">
        <v>50</v>
      </c>
      <c r="F7" s="159">
        <f t="shared" si="0"/>
        <v>200</v>
      </c>
      <c r="G7" s="160"/>
    </row>
    <row r="8" spans="2:8" s="143" customFormat="1" ht="3.95" customHeight="1" thickTop="1" thickBot="1" x14ac:dyDescent="0.3">
      <c r="C8" s="161"/>
      <c r="D8" s="162"/>
      <c r="E8" s="163"/>
      <c r="F8" s="163"/>
    </row>
    <row r="9" spans="2:8" ht="15.75" thickTop="1" x14ac:dyDescent="0.25">
      <c r="B9" s="146"/>
      <c r="C9" s="798" t="s">
        <v>375</v>
      </c>
      <c r="D9" s="147" t="s">
        <v>29</v>
      </c>
      <c r="E9" s="148">
        <v>100</v>
      </c>
      <c r="F9" s="149">
        <f t="shared" si="0"/>
        <v>400</v>
      </c>
      <c r="G9" s="150"/>
    </row>
    <row r="10" spans="2:8" x14ac:dyDescent="0.25">
      <c r="B10" s="151"/>
      <c r="C10" s="800"/>
      <c r="D10" s="152" t="s">
        <v>2</v>
      </c>
      <c r="E10" s="153">
        <v>50</v>
      </c>
      <c r="F10" s="154">
        <f t="shared" si="0"/>
        <v>200</v>
      </c>
      <c r="G10" s="155"/>
    </row>
    <row r="11" spans="2:8" x14ac:dyDescent="0.25">
      <c r="B11" s="151"/>
      <c r="C11" s="800"/>
      <c r="D11" s="152" t="s">
        <v>376</v>
      </c>
      <c r="E11" s="153">
        <v>100</v>
      </c>
      <c r="F11" s="154">
        <f t="shared" si="0"/>
        <v>400</v>
      </c>
      <c r="G11" s="155"/>
    </row>
    <row r="12" spans="2:8" ht="15.75" thickBot="1" x14ac:dyDescent="0.3">
      <c r="B12" s="156"/>
      <c r="C12" s="799"/>
      <c r="D12" s="157" t="s">
        <v>377</v>
      </c>
      <c r="E12" s="158">
        <v>50</v>
      </c>
      <c r="F12" s="159">
        <f t="shared" si="0"/>
        <v>200</v>
      </c>
      <c r="G12" s="160"/>
    </row>
    <row r="13" spans="2:8" s="143" customFormat="1" ht="3.95" customHeight="1" thickTop="1" thickBot="1" x14ac:dyDescent="0.3">
      <c r="C13" s="161"/>
      <c r="D13" s="162"/>
      <c r="E13" s="163"/>
      <c r="F13" s="163"/>
    </row>
    <row r="14" spans="2:8" ht="15.75" thickTop="1" x14ac:dyDescent="0.25">
      <c r="B14" s="146"/>
      <c r="C14" s="798" t="s">
        <v>378</v>
      </c>
      <c r="D14" s="147" t="s">
        <v>379</v>
      </c>
      <c r="E14" s="148">
        <v>100</v>
      </c>
      <c r="F14" s="149">
        <f t="shared" si="0"/>
        <v>400</v>
      </c>
      <c r="G14" s="150"/>
    </row>
    <row r="15" spans="2:8" x14ac:dyDescent="0.25">
      <c r="B15" s="151"/>
      <c r="C15" s="800"/>
      <c r="D15" s="152" t="s">
        <v>380</v>
      </c>
      <c r="E15" s="153">
        <v>50</v>
      </c>
      <c r="F15" s="154">
        <f t="shared" si="0"/>
        <v>200</v>
      </c>
      <c r="G15" s="155"/>
    </row>
    <row r="16" spans="2:8" x14ac:dyDescent="0.25">
      <c r="B16" s="151"/>
      <c r="C16" s="800"/>
      <c r="D16" s="152" t="s">
        <v>843</v>
      </c>
      <c r="E16" s="153" t="s">
        <v>844</v>
      </c>
      <c r="F16" s="154" t="s">
        <v>844</v>
      </c>
      <c r="G16" s="155"/>
    </row>
    <row r="17" spans="2:7" x14ac:dyDescent="0.25">
      <c r="B17" s="151"/>
      <c r="C17" s="800"/>
      <c r="D17" s="152" t="s">
        <v>381</v>
      </c>
      <c r="E17" s="153">
        <v>75</v>
      </c>
      <c r="F17" s="154">
        <f t="shared" si="0"/>
        <v>300</v>
      </c>
      <c r="G17" s="155"/>
    </row>
    <row r="18" spans="2:7" x14ac:dyDescent="0.25">
      <c r="B18" s="151"/>
      <c r="C18" s="800"/>
      <c r="D18" s="152" t="s">
        <v>382</v>
      </c>
      <c r="E18" s="153">
        <v>50</v>
      </c>
      <c r="F18" s="154">
        <f t="shared" si="0"/>
        <v>200</v>
      </c>
      <c r="G18" s="155"/>
    </row>
    <row r="19" spans="2:7" ht="15.75" thickBot="1" x14ac:dyDescent="0.3">
      <c r="B19" s="156"/>
      <c r="C19" s="799"/>
      <c r="D19" s="157" t="s">
        <v>383</v>
      </c>
      <c r="E19" s="158">
        <v>25</v>
      </c>
      <c r="F19" s="159">
        <f t="shared" si="0"/>
        <v>100</v>
      </c>
      <c r="G19" s="160"/>
    </row>
    <row r="20" spans="2:7" s="143" customFormat="1" ht="3.95" customHeight="1" thickTop="1" thickBot="1" x14ac:dyDescent="0.3">
      <c r="C20" s="161"/>
      <c r="D20" s="162"/>
      <c r="E20" s="163"/>
      <c r="F20" s="163"/>
    </row>
    <row r="21" spans="2:7" ht="15.75" thickTop="1" x14ac:dyDescent="0.25">
      <c r="B21" s="146"/>
      <c r="C21" s="798" t="s">
        <v>384</v>
      </c>
      <c r="D21" s="147" t="s">
        <v>385</v>
      </c>
      <c r="E21" s="148">
        <v>100</v>
      </c>
      <c r="F21" s="149">
        <f t="shared" si="0"/>
        <v>400</v>
      </c>
      <c r="G21" s="150"/>
    </row>
    <row r="22" spans="2:7" x14ac:dyDescent="0.25">
      <c r="B22" s="151"/>
      <c r="C22" s="800"/>
      <c r="D22" s="152" t="s">
        <v>386</v>
      </c>
      <c r="E22" s="153">
        <v>50</v>
      </c>
      <c r="F22" s="154">
        <f t="shared" si="0"/>
        <v>200</v>
      </c>
      <c r="G22" s="155"/>
    </row>
    <row r="23" spans="2:7" x14ac:dyDescent="0.25">
      <c r="B23" s="151"/>
      <c r="C23" s="800"/>
      <c r="D23" s="152" t="s">
        <v>387</v>
      </c>
      <c r="E23" s="153">
        <v>50</v>
      </c>
      <c r="F23" s="154">
        <f t="shared" si="0"/>
        <v>200</v>
      </c>
      <c r="G23" s="155"/>
    </row>
    <row r="24" spans="2:7" x14ac:dyDescent="0.25">
      <c r="B24" s="151"/>
      <c r="C24" s="800"/>
      <c r="D24" s="152" t="s">
        <v>388</v>
      </c>
      <c r="E24" s="153">
        <v>200</v>
      </c>
      <c r="F24" s="154">
        <v>400</v>
      </c>
      <c r="G24" s="155"/>
    </row>
    <row r="25" spans="2:7" ht="15.75" thickBot="1" x14ac:dyDescent="0.3">
      <c r="B25" s="156"/>
      <c r="C25" s="799"/>
      <c r="D25" s="157" t="s">
        <v>389</v>
      </c>
      <c r="E25" s="158">
        <v>-100</v>
      </c>
      <c r="F25" s="159">
        <f t="shared" si="0"/>
        <v>-400</v>
      </c>
      <c r="G25" s="160"/>
    </row>
    <row r="26" spans="2:7" s="143" customFormat="1" ht="3.95" customHeight="1" thickTop="1" thickBot="1" x14ac:dyDescent="0.3">
      <c r="C26" s="161"/>
      <c r="D26" s="162"/>
      <c r="E26" s="163"/>
      <c r="F26" s="163"/>
    </row>
    <row r="27" spans="2:7" ht="15.75" thickTop="1" x14ac:dyDescent="0.25">
      <c r="B27" s="146"/>
      <c r="C27" s="798" t="s">
        <v>390</v>
      </c>
      <c r="D27" s="147" t="s">
        <v>391</v>
      </c>
      <c r="E27" s="148">
        <v>100</v>
      </c>
      <c r="F27" s="149">
        <f t="shared" si="0"/>
        <v>400</v>
      </c>
      <c r="G27" s="150"/>
    </row>
    <row r="28" spans="2:7" x14ac:dyDescent="0.25">
      <c r="B28" s="151"/>
      <c r="C28" s="800"/>
      <c r="D28" s="152" t="s">
        <v>392</v>
      </c>
      <c r="E28" s="153">
        <v>50</v>
      </c>
      <c r="F28" s="154">
        <f t="shared" si="0"/>
        <v>200</v>
      </c>
      <c r="G28" s="155"/>
    </row>
    <row r="29" spans="2:7" x14ac:dyDescent="0.25">
      <c r="B29" s="151"/>
      <c r="C29" s="800"/>
      <c r="D29" s="152" t="s">
        <v>393</v>
      </c>
      <c r="E29" s="164">
        <f>0.25*F29</f>
        <v>56.25</v>
      </c>
      <c r="F29" s="154">
        <v>225</v>
      </c>
      <c r="G29" s="155"/>
    </row>
    <row r="30" spans="2:7" x14ac:dyDescent="0.25">
      <c r="B30" s="151"/>
      <c r="C30" s="800"/>
      <c r="D30" s="152" t="s">
        <v>394</v>
      </c>
      <c r="E30" s="164">
        <f t="shared" ref="E30:E36" si="1">0.25*F30</f>
        <v>50</v>
      </c>
      <c r="F30" s="154">
        <v>200</v>
      </c>
      <c r="G30" s="155"/>
    </row>
    <row r="31" spans="2:7" x14ac:dyDescent="0.25">
      <c r="B31" s="151"/>
      <c r="C31" s="800"/>
      <c r="D31" s="152" t="s">
        <v>395</v>
      </c>
      <c r="E31" s="153">
        <f t="shared" si="1"/>
        <v>45</v>
      </c>
      <c r="F31" s="154">
        <v>180</v>
      </c>
      <c r="G31" s="155"/>
    </row>
    <row r="32" spans="2:7" x14ac:dyDescent="0.25">
      <c r="B32" s="151"/>
      <c r="C32" s="800"/>
      <c r="D32" s="152" t="s">
        <v>396</v>
      </c>
      <c r="E32" s="153">
        <v>27</v>
      </c>
      <c r="F32" s="154">
        <v>160</v>
      </c>
      <c r="G32" s="155"/>
    </row>
    <row r="33" spans="2:7" x14ac:dyDescent="0.25">
      <c r="B33" s="151"/>
      <c r="C33" s="800"/>
      <c r="D33" s="152" t="s">
        <v>397</v>
      </c>
      <c r="E33" s="164">
        <f t="shared" si="1"/>
        <v>35</v>
      </c>
      <c r="F33" s="154">
        <v>140</v>
      </c>
      <c r="G33" s="155"/>
    </row>
    <row r="34" spans="2:7" x14ac:dyDescent="0.25">
      <c r="B34" s="151"/>
      <c r="C34" s="800"/>
      <c r="D34" s="152" t="s">
        <v>398</v>
      </c>
      <c r="E34" s="164">
        <f t="shared" si="1"/>
        <v>30</v>
      </c>
      <c r="F34" s="154">
        <v>120</v>
      </c>
      <c r="G34" s="155"/>
    </row>
    <row r="35" spans="2:7" x14ac:dyDescent="0.25">
      <c r="B35" s="151"/>
      <c r="C35" s="800"/>
      <c r="D35" s="152" t="s">
        <v>399</v>
      </c>
      <c r="E35" s="164">
        <f t="shared" si="1"/>
        <v>20</v>
      </c>
      <c r="F35" s="154">
        <v>80</v>
      </c>
      <c r="G35" s="155"/>
    </row>
    <row r="36" spans="2:7" x14ac:dyDescent="0.25">
      <c r="B36" s="151"/>
      <c r="C36" s="800"/>
      <c r="D36" s="152" t="s">
        <v>400</v>
      </c>
      <c r="E36" s="164">
        <f t="shared" si="1"/>
        <v>15</v>
      </c>
      <c r="F36" s="154">
        <v>60</v>
      </c>
      <c r="G36" s="155"/>
    </row>
    <row r="37" spans="2:7" ht="15.75" thickBot="1" x14ac:dyDescent="0.3">
      <c r="B37" s="156"/>
      <c r="C37" s="799"/>
      <c r="D37" s="157" t="s">
        <v>401</v>
      </c>
      <c r="E37" s="165">
        <f>0.25*F37</f>
        <v>3.75</v>
      </c>
      <c r="F37" s="166">
        <v>15</v>
      </c>
      <c r="G37" s="160"/>
    </row>
    <row r="38" spans="2:7" s="143" customFormat="1" ht="3.95" customHeight="1" thickTop="1" thickBot="1" x14ac:dyDescent="0.3">
      <c r="C38" s="161"/>
      <c r="D38" s="162"/>
      <c r="E38" s="163"/>
      <c r="F38" s="163"/>
    </row>
    <row r="39" spans="2:7" ht="15.75" thickTop="1" x14ac:dyDescent="0.25">
      <c r="B39" s="146"/>
      <c r="C39" s="798" t="s">
        <v>402</v>
      </c>
      <c r="D39" s="147" t="s">
        <v>403</v>
      </c>
      <c r="E39" s="148">
        <v>100</v>
      </c>
      <c r="F39" s="149">
        <f t="shared" si="0"/>
        <v>400</v>
      </c>
      <c r="G39" s="150"/>
    </row>
    <row r="40" spans="2:7" ht="15.75" thickBot="1" x14ac:dyDescent="0.3">
      <c r="B40" s="156"/>
      <c r="C40" s="799"/>
      <c r="D40" s="157" t="s">
        <v>404</v>
      </c>
      <c r="E40" s="158">
        <v>100</v>
      </c>
      <c r="F40" s="159">
        <f t="shared" si="0"/>
        <v>400</v>
      </c>
      <c r="G40" s="160"/>
    </row>
    <row r="41" spans="2:7" s="143" customFormat="1" ht="3.95" customHeight="1" thickTop="1" thickBot="1" x14ac:dyDescent="0.3">
      <c r="C41" s="161"/>
      <c r="D41" s="162"/>
      <c r="E41" s="163"/>
      <c r="F41" s="163"/>
    </row>
    <row r="42" spans="2:7" ht="15.75" thickTop="1" x14ac:dyDescent="0.25">
      <c r="B42" s="146"/>
      <c r="C42" s="798" t="s">
        <v>405</v>
      </c>
      <c r="D42" s="147" t="s">
        <v>406</v>
      </c>
      <c r="E42" s="148">
        <v>200</v>
      </c>
      <c r="F42" s="167" t="s">
        <v>407</v>
      </c>
      <c r="G42" s="150"/>
    </row>
    <row r="43" spans="2:7" x14ac:dyDescent="0.25">
      <c r="B43" s="151"/>
      <c r="C43" s="800"/>
      <c r="D43" s="152" t="s">
        <v>408</v>
      </c>
      <c r="E43" s="153">
        <v>300</v>
      </c>
      <c r="F43" s="168" t="s">
        <v>407</v>
      </c>
      <c r="G43" s="155"/>
    </row>
    <row r="44" spans="2:7" x14ac:dyDescent="0.25">
      <c r="B44" s="151"/>
      <c r="C44" s="800"/>
      <c r="D44" s="152" t="s">
        <v>409</v>
      </c>
      <c r="E44" s="153">
        <v>400</v>
      </c>
      <c r="F44" s="168" t="s">
        <v>407</v>
      </c>
      <c r="G44" s="155"/>
    </row>
    <row r="45" spans="2:7" ht="15.75" thickBot="1" x14ac:dyDescent="0.3">
      <c r="B45" s="156"/>
      <c r="C45" s="799"/>
      <c r="D45" s="157" t="s">
        <v>410</v>
      </c>
      <c r="E45" s="169" t="s">
        <v>407</v>
      </c>
      <c r="F45" s="159">
        <v>1000</v>
      </c>
      <c r="G45" s="160"/>
    </row>
    <row r="46" spans="2:7" s="143" customFormat="1" ht="3.95" customHeight="1" thickTop="1" thickBot="1" x14ac:dyDescent="0.3">
      <c r="C46" s="161"/>
      <c r="D46" s="162"/>
      <c r="E46" s="163"/>
      <c r="F46" s="163"/>
    </row>
    <row r="47" spans="2:7" ht="15.75" thickTop="1" x14ac:dyDescent="0.25">
      <c r="B47" s="146"/>
      <c r="C47" s="798" t="s">
        <v>411</v>
      </c>
      <c r="D47" s="147" t="s">
        <v>412</v>
      </c>
      <c r="E47" s="170" t="s">
        <v>407</v>
      </c>
      <c r="F47" s="149">
        <v>5000</v>
      </c>
      <c r="G47" s="150"/>
    </row>
    <row r="48" spans="2:7" x14ac:dyDescent="0.25">
      <c r="B48" s="151"/>
      <c r="C48" s="800"/>
      <c r="D48" s="152" t="s">
        <v>413</v>
      </c>
      <c r="E48" s="171" t="s">
        <v>407</v>
      </c>
      <c r="F48" s="154">
        <v>3000</v>
      </c>
      <c r="G48" s="155"/>
    </row>
    <row r="49" spans="2:7" ht="15.75" thickBot="1" x14ac:dyDescent="0.3">
      <c r="B49" s="156"/>
      <c r="C49" s="799"/>
      <c r="D49" s="157" t="s">
        <v>414</v>
      </c>
      <c r="E49" s="169" t="s">
        <v>407</v>
      </c>
      <c r="F49" s="159">
        <v>1000</v>
      </c>
      <c r="G49" s="160"/>
    </row>
    <row r="50" spans="2:7" s="174" customFormat="1" ht="6.95" customHeight="1" thickTop="1" x14ac:dyDescent="0.25">
      <c r="C50" s="172"/>
      <c r="D50" s="173"/>
      <c r="E50" s="104"/>
      <c r="F50" s="104"/>
    </row>
  </sheetData>
  <sheetProtection password="D913" sheet="1" objects="1" scenarios="1"/>
  <mergeCells count="9">
    <mergeCell ref="C39:C40"/>
    <mergeCell ref="C42:C45"/>
    <mergeCell ref="C47:C49"/>
    <mergeCell ref="B1:G1"/>
    <mergeCell ref="C5:C7"/>
    <mergeCell ref="C9:C12"/>
    <mergeCell ref="C14:C19"/>
    <mergeCell ref="C21:C25"/>
    <mergeCell ref="C27:C37"/>
  </mergeCells>
  <printOptions horizontalCentered="1"/>
  <pageMargins left="0.2" right="0.2" top="0.5" bottom="0.5" header="0.3" footer="0.3"/>
  <pageSetup orientation="portrait" r:id="rId1"/>
  <headerFooter>
    <oddFooter>&amp;Lwww.Alamaze.co&amp;RPrepared by: Frost Lord</oddFooter>
  </headerFooter>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Misc. Charts</vt:lpstr>
      <vt:lpstr>Unusual Sighting Calculator</vt:lpstr>
      <vt:lpstr>320-330 Calculator</vt:lpstr>
      <vt:lpstr>170-171 Calculator</vt:lpstr>
      <vt:lpstr>Agent Probability Calculator</vt:lpstr>
      <vt:lpstr>Kingdom Traits Matrix</vt:lpstr>
      <vt:lpstr>Status Points</vt:lpstr>
      <vt:lpstr>'170-171 Calculator'!Print_Area</vt:lpstr>
      <vt:lpstr>'320-330 Calculator'!Print_Area</vt:lpstr>
      <vt:lpstr>'Agent Probability Calculator'!Print_Area</vt:lpstr>
      <vt:lpstr>'Kingdom Traits Matrix'!Print_Area</vt:lpstr>
      <vt:lpstr>'Misc. Charts'!Print_Area</vt:lpstr>
      <vt:lpstr>'Unusual Sighting Calculator'!Print_Area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Frost</dc:creator>
  <cp:lastModifiedBy>John Frost</cp:lastModifiedBy>
  <cp:lastPrinted>2016-07-30T22:31:49Z</cp:lastPrinted>
  <dcterms:created xsi:type="dcterms:W3CDTF">2016-03-02T14:11:01Z</dcterms:created>
  <dcterms:modified xsi:type="dcterms:W3CDTF">2016-09-13T22:41:28Z</dcterms:modified>
</cp:coreProperties>
</file>